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" windowWidth="13905" windowHeight="12585" tabRatio="749" activeTab="6"/>
  </bookViews>
  <sheets>
    <sheet name="Ст.2" sheetId="7" r:id="rId1"/>
    <sheet name="Ст.25" sheetId="4" r:id="rId2"/>
    <sheet name="Ст.26" sheetId="8" r:id="rId3"/>
    <sheet name="Ст.28" sheetId="1" r:id="rId4"/>
    <sheet name="Ст.30" sheetId="9" r:id="rId5"/>
    <sheet name="Ст.32" sheetId="10" r:id="rId6"/>
    <sheet name="Об.35-1" sheetId="5" r:id="rId7"/>
    <sheet name="Об.35-2" sheetId="6" r:id="rId8"/>
    <sheet name="Мак.22" sheetId="11" r:id="rId9"/>
  </sheets>
  <definedNames>
    <definedName name="_xlnm.Print_Area" localSheetId="8">Мак.22!$A$1:$E$55</definedName>
    <definedName name="_xlnm.Print_Area" localSheetId="6">'Об.35-1'!$A$1:$G$55</definedName>
    <definedName name="_xlnm.Print_Area" localSheetId="7">'Об.35-2'!$A$1:$H$57</definedName>
    <definedName name="_xlnm.Print_Area" localSheetId="0">Ст.2!$A$1:$E$54</definedName>
    <definedName name="_xlnm.Print_Area" localSheetId="1">Ст.25!$A$1:$E$56</definedName>
    <definedName name="_xlnm.Print_Area" localSheetId="2">Ст.26!$A$1:$H$49</definedName>
    <definedName name="_xlnm.Print_Area" localSheetId="3">Ст.28!$A$1:$F$54</definedName>
    <definedName name="_xlnm.Print_Area" localSheetId="4">Ст.30!$A$1:$E$57</definedName>
    <definedName name="_xlnm.Print_Area" localSheetId="5">Ст.32!$A$1:$E$52</definedName>
  </definedNames>
  <calcPr calcId="144525" fullPrecision="0"/>
</workbook>
</file>

<file path=xl/calcChain.xml><?xml version="1.0" encoding="utf-8"?>
<calcChain xmlns="http://schemas.openxmlformats.org/spreadsheetml/2006/main">
  <c r="D51" i="11" l="1"/>
  <c r="E42" i="8" l="1"/>
  <c r="D42" i="8"/>
  <c r="D50" i="11" l="1"/>
  <c r="E50" i="11"/>
  <c r="E48" i="11"/>
  <c r="D46" i="11"/>
  <c r="D45" i="11"/>
  <c r="D44" i="11"/>
  <c r="D43" i="11"/>
  <c r="D51" i="6"/>
  <c r="D46" i="6"/>
  <c r="D44" i="6"/>
  <c r="E47" i="6"/>
  <c r="E46" i="6"/>
  <c r="E44" i="6" s="1"/>
  <c r="E45" i="6"/>
  <c r="D47" i="6"/>
  <c r="D45" i="6"/>
  <c r="E46" i="5"/>
  <c r="E45" i="5"/>
  <c r="D46" i="5"/>
  <c r="D45" i="5"/>
  <c r="D47" i="10"/>
  <c r="E42" i="10"/>
  <c r="E44" i="10"/>
  <c r="E43" i="10"/>
  <c r="D43" i="10"/>
  <c r="E49" i="4"/>
  <c r="E48" i="4"/>
  <c r="E47" i="4"/>
  <c r="E46" i="4"/>
  <c r="D47" i="4"/>
  <c r="D46" i="4"/>
  <c r="D46" i="7"/>
  <c r="D45" i="7"/>
  <c r="D42" i="11" l="1"/>
  <c r="E40" i="5" l="1"/>
  <c r="E38" i="10"/>
  <c r="E38" i="8"/>
  <c r="E40" i="4"/>
  <c r="E40" i="7"/>
  <c r="I38" i="11" l="1"/>
  <c r="E38" i="11"/>
  <c r="D36" i="11"/>
  <c r="E18" i="11"/>
  <c r="I40" i="6"/>
  <c r="E40" i="6"/>
  <c r="E20" i="6"/>
  <c r="I40" i="5"/>
  <c r="E20" i="5"/>
  <c r="D35" i="10"/>
  <c r="I41" i="9"/>
  <c r="E41" i="9"/>
  <c r="E20" i="9"/>
  <c r="E18" i="1"/>
  <c r="E40" i="1"/>
  <c r="J39" i="1"/>
  <c r="I38" i="8"/>
  <c r="E20" i="4"/>
  <c r="J33" i="7" l="1"/>
  <c r="K52" i="7" l="1"/>
  <c r="J50" i="7"/>
  <c r="H41" i="7"/>
  <c r="J41" i="7"/>
  <c r="J42" i="7" s="1"/>
  <c r="J43" i="7" l="1"/>
  <c r="J51" i="7" l="1"/>
  <c r="D44" i="5"/>
  <c r="K53" i="7" l="1"/>
  <c r="D42" i="10" l="1"/>
  <c r="D45" i="9"/>
  <c r="D44" i="4"/>
  <c r="I22" i="5"/>
  <c r="H21" i="10"/>
  <c r="I28" i="8"/>
  <c r="J31" i="11" l="1"/>
  <c r="D31" i="11"/>
  <c r="K31" i="11" l="1"/>
  <c r="F49" i="1"/>
  <c r="D5" i="5" l="1"/>
  <c r="D40" i="5" s="1"/>
  <c r="D4" i="11"/>
  <c r="D5" i="4"/>
  <c r="I26" i="4"/>
  <c r="E26" i="4" s="1"/>
  <c r="F26" i="4" s="1"/>
  <c r="E21" i="4"/>
  <c r="E22" i="4" s="1"/>
  <c r="D34" i="4"/>
  <c r="E36" i="4"/>
  <c r="E37" i="4"/>
  <c r="D38" i="4"/>
  <c r="D48" i="4"/>
  <c r="D49" i="4" s="1"/>
  <c r="H13" i="10"/>
  <c r="E13" i="10" s="1"/>
  <c r="H14" i="10"/>
  <c r="E14" i="10" s="1"/>
  <c r="H15" i="10"/>
  <c r="E15" i="10" s="1"/>
  <c r="E16" i="10"/>
  <c r="J17" i="10" s="1"/>
  <c r="J13" i="10"/>
  <c r="D8" i="11"/>
  <c r="I24" i="11"/>
  <c r="E24" i="11" s="1"/>
  <c r="F24" i="11" s="1"/>
  <c r="E19" i="11"/>
  <c r="E20" i="11" s="1"/>
  <c r="E34" i="11"/>
  <c r="E35" i="11"/>
  <c r="D35" i="11" s="1"/>
  <c r="D5" i="6"/>
  <c r="D44" i="7"/>
  <c r="D47" i="7" s="1"/>
  <c r="D48" i="7" s="1"/>
  <c r="G39" i="11"/>
  <c r="F32" i="11"/>
  <c r="G32" i="11" s="1"/>
  <c r="H30" i="11"/>
  <c r="E17" i="11"/>
  <c r="E16" i="11"/>
  <c r="E15" i="11"/>
  <c r="I14" i="11"/>
  <c r="E14" i="11" s="1"/>
  <c r="E13" i="11"/>
  <c r="D13" i="11" s="1"/>
  <c r="E12" i="11"/>
  <c r="E11" i="11"/>
  <c r="D11" i="11" s="1"/>
  <c r="F10" i="11"/>
  <c r="F9" i="11"/>
  <c r="F8" i="11"/>
  <c r="D17" i="11"/>
  <c r="D37" i="10"/>
  <c r="D38" i="9"/>
  <c r="D5" i="10"/>
  <c r="D5" i="9"/>
  <c r="H32" i="9"/>
  <c r="I26" i="9"/>
  <c r="E26" i="9" s="1"/>
  <c r="E21" i="9"/>
  <c r="E25" i="9" s="1"/>
  <c r="E20" i="10"/>
  <c r="F20" i="10" s="1"/>
  <c r="H26" i="10"/>
  <c r="E26" i="10" s="1"/>
  <c r="H27" i="10"/>
  <c r="H28" i="10"/>
  <c r="E18" i="10"/>
  <c r="E17" i="10"/>
  <c r="J18" i="10" s="1"/>
  <c r="I15" i="10"/>
  <c r="E19" i="9"/>
  <c r="E18" i="9"/>
  <c r="E17" i="9"/>
  <c r="I16" i="9"/>
  <c r="E16" i="9" s="1"/>
  <c r="E15" i="9"/>
  <c r="E14" i="9"/>
  <c r="E13" i="9"/>
  <c r="E34" i="10"/>
  <c r="F12" i="10"/>
  <c r="F11" i="10"/>
  <c r="D47" i="9"/>
  <c r="D48" i="9" s="1"/>
  <c r="E37" i="9"/>
  <c r="E36" i="9"/>
  <c r="F11" i="9"/>
  <c r="F10" i="9"/>
  <c r="J26" i="8"/>
  <c r="D36" i="8"/>
  <c r="E21" i="8"/>
  <c r="F21" i="8" s="1"/>
  <c r="H26" i="8"/>
  <c r="I27" i="8"/>
  <c r="E27" i="8" s="1"/>
  <c r="H33" i="8"/>
  <c r="I16" i="8"/>
  <c r="D5" i="8"/>
  <c r="E19" i="8"/>
  <c r="F11" i="8"/>
  <c r="D38" i="7"/>
  <c r="E18" i="7"/>
  <c r="E17" i="7"/>
  <c r="I16" i="7"/>
  <c r="E16" i="7" s="1"/>
  <c r="E15" i="7"/>
  <c r="E14" i="7"/>
  <c r="E13" i="7"/>
  <c r="H32" i="7"/>
  <c r="I26" i="7"/>
  <c r="E26" i="7" s="1"/>
  <c r="E21" i="7"/>
  <c r="E25" i="7" s="1"/>
  <c r="E37" i="7"/>
  <c r="E36" i="7"/>
  <c r="F11" i="7"/>
  <c r="F10" i="7"/>
  <c r="D5" i="7"/>
  <c r="I23" i="6"/>
  <c r="I23" i="5"/>
  <c r="D38" i="6"/>
  <c r="E36" i="6"/>
  <c r="E37" i="6"/>
  <c r="D37" i="6" s="1"/>
  <c r="E36" i="5"/>
  <c r="E37" i="5"/>
  <c r="D38" i="5"/>
  <c r="H32" i="6"/>
  <c r="I26" i="6"/>
  <c r="E26" i="6" s="1"/>
  <c r="E32" i="6" s="1"/>
  <c r="E21" i="6"/>
  <c r="E25" i="6" s="1"/>
  <c r="D25" i="6" s="1"/>
  <c r="H32" i="5"/>
  <c r="I26" i="5"/>
  <c r="E26" i="5" s="1"/>
  <c r="E21" i="5"/>
  <c r="E25" i="5" s="1"/>
  <c r="F25" i="5" s="1"/>
  <c r="E19" i="6"/>
  <c r="D19" i="6" s="1"/>
  <c r="E18" i="6"/>
  <c r="E17" i="6"/>
  <c r="I16" i="6"/>
  <c r="E16" i="6" s="1"/>
  <c r="E15" i="6"/>
  <c r="D15" i="6" s="1"/>
  <c r="E14" i="6"/>
  <c r="D14" i="6" s="1"/>
  <c r="E13" i="6"/>
  <c r="D13" i="6" s="1"/>
  <c r="E19" i="5"/>
  <c r="E18" i="5"/>
  <c r="E17" i="5"/>
  <c r="I16" i="5"/>
  <c r="E16" i="5" s="1"/>
  <c r="E15" i="5"/>
  <c r="E14" i="5"/>
  <c r="E13" i="5"/>
  <c r="F11" i="6"/>
  <c r="F10" i="6"/>
  <c r="F11" i="5"/>
  <c r="F10" i="5"/>
  <c r="F11" i="4"/>
  <c r="F10" i="4"/>
  <c r="F12" i="4"/>
  <c r="E13" i="4"/>
  <c r="E14" i="4"/>
  <c r="E15" i="4"/>
  <c r="I16" i="4"/>
  <c r="E16" i="4" s="1"/>
  <c r="E17" i="4"/>
  <c r="E18" i="4"/>
  <c r="E19" i="4"/>
  <c r="H32" i="4"/>
  <c r="F34" i="4"/>
  <c r="G34" i="4" s="1"/>
  <c r="G41" i="4"/>
  <c r="D36" i="1"/>
  <c r="I24" i="1"/>
  <c r="E24" i="1" s="1"/>
  <c r="E25" i="1" s="1"/>
  <c r="E19" i="1"/>
  <c r="E20" i="1" s="1"/>
  <c r="D39" i="1"/>
  <c r="G41" i="1"/>
  <c r="E35" i="1"/>
  <c r="E34" i="1"/>
  <c r="F32" i="1"/>
  <c r="G32" i="1" s="1"/>
  <c r="H30" i="1"/>
  <c r="F19" i="1"/>
  <c r="E17" i="1"/>
  <c r="E16" i="1"/>
  <c r="E15" i="1"/>
  <c r="I14" i="1"/>
  <c r="E14" i="1" s="1"/>
  <c r="E13" i="1"/>
  <c r="E12" i="1"/>
  <c r="E11" i="1"/>
  <c r="F10" i="1"/>
  <c r="F9" i="1"/>
  <c r="F8" i="1"/>
  <c r="D4" i="1"/>
  <c r="E34" i="9"/>
  <c r="G42" i="9"/>
  <c r="E23" i="9"/>
  <c r="F12" i="9"/>
  <c r="F35" i="8"/>
  <c r="E16" i="8"/>
  <c r="E18" i="8"/>
  <c r="F12" i="8"/>
  <c r="E13" i="8"/>
  <c r="E14" i="8"/>
  <c r="E15" i="8"/>
  <c r="E17" i="8"/>
  <c r="F10" i="8"/>
  <c r="E38" i="7"/>
  <c r="F12" i="7"/>
  <c r="E19" i="7"/>
  <c r="D11" i="7"/>
  <c r="G11" i="7" s="1"/>
  <c r="D17" i="6"/>
  <c r="F12" i="6"/>
  <c r="F12" i="5"/>
  <c r="G41" i="5"/>
  <c r="D47" i="5"/>
  <c r="D48" i="5" s="1"/>
  <c r="F20" i="1"/>
  <c r="E22" i="1"/>
  <c r="E21" i="1"/>
  <c r="F21" i="1" s="1"/>
  <c r="G39" i="8"/>
  <c r="G41" i="6"/>
  <c r="F34" i="5"/>
  <c r="G34" i="5" s="1"/>
  <c r="F10" i="10"/>
  <c r="G39" i="10"/>
  <c r="I32" i="11"/>
  <c r="D15" i="11"/>
  <c r="I38" i="6"/>
  <c r="D15" i="7"/>
  <c r="F22" i="4"/>
  <c r="D13" i="7"/>
  <c r="D38" i="11" l="1"/>
  <c r="E44" i="11"/>
  <c r="E46" i="11"/>
  <c r="E45" i="11"/>
  <c r="E43" i="11"/>
  <c r="E42" i="11" s="1"/>
  <c r="E47" i="11" s="1"/>
  <c r="E45" i="7"/>
  <c r="E46" i="7"/>
  <c r="D11" i="4"/>
  <c r="D40" i="4"/>
  <c r="D10" i="11"/>
  <c r="I10" i="11" s="1"/>
  <c r="E36" i="11"/>
  <c r="E23" i="11"/>
  <c r="D23" i="11" s="1"/>
  <c r="D10" i="6"/>
  <c r="D40" i="6"/>
  <c r="F26" i="6"/>
  <c r="E23" i="5"/>
  <c r="D23" i="5" s="1"/>
  <c r="E24" i="5"/>
  <c r="F24" i="5" s="1"/>
  <c r="E35" i="10"/>
  <c r="D38" i="10"/>
  <c r="F34" i="9"/>
  <c r="G34" i="9" s="1"/>
  <c r="E45" i="9"/>
  <c r="D41" i="9"/>
  <c r="E45" i="1"/>
  <c r="D40" i="1"/>
  <c r="D10" i="8"/>
  <c r="D38" i="8"/>
  <c r="D18" i="8"/>
  <c r="D12" i="7"/>
  <c r="D40" i="7"/>
  <c r="D20" i="11"/>
  <c r="E28" i="1"/>
  <c r="F28" i="1" s="1"/>
  <c r="E50" i="5"/>
  <c r="D10" i="9"/>
  <c r="F24" i="1"/>
  <c r="D12" i="5"/>
  <c r="K12" i="9"/>
  <c r="D12" i="9"/>
  <c r="D19" i="4"/>
  <c r="D17" i="4"/>
  <c r="D15" i="4"/>
  <c r="D13" i="4"/>
  <c r="D16" i="5"/>
  <c r="D18" i="5"/>
  <c r="D16" i="6"/>
  <c r="D18" i="6"/>
  <c r="D36" i="6"/>
  <c r="D35" i="6" s="1"/>
  <c r="I35" i="6" s="1"/>
  <c r="K10" i="9"/>
  <c r="D36" i="9"/>
  <c r="D13" i="9"/>
  <c r="E39" i="4"/>
  <c r="D37" i="4"/>
  <c r="I34" i="4"/>
  <c r="D9" i="11"/>
  <c r="E45" i="4"/>
  <c r="D18" i="4"/>
  <c r="D16" i="4"/>
  <c r="D14" i="4"/>
  <c r="D22" i="4"/>
  <c r="D12" i="4"/>
  <c r="I12" i="4" s="1"/>
  <c r="E38" i="4"/>
  <c r="D36" i="4"/>
  <c r="D35" i="4" s="1"/>
  <c r="I35" i="4" s="1"/>
  <c r="E24" i="4"/>
  <c r="E44" i="4"/>
  <c r="G12" i="7"/>
  <c r="D37" i="7"/>
  <c r="D17" i="7"/>
  <c r="G8" i="11"/>
  <c r="G10" i="11"/>
  <c r="D12" i="11"/>
  <c r="D14" i="11"/>
  <c r="D16" i="11"/>
  <c r="E37" i="11"/>
  <c r="D34" i="11"/>
  <c r="E21" i="11"/>
  <c r="D25" i="5"/>
  <c r="D10" i="5"/>
  <c r="D36" i="5"/>
  <c r="E22" i="9"/>
  <c r="F22" i="9" s="1"/>
  <c r="D19" i="7"/>
  <c r="G10" i="8"/>
  <c r="D33" i="6"/>
  <c r="J33" i="6"/>
  <c r="D33" i="4"/>
  <c r="J33" i="4"/>
  <c r="D31" i="1"/>
  <c r="J31" i="1"/>
  <c r="E39" i="7"/>
  <c r="D33" i="7"/>
  <c r="D33" i="5"/>
  <c r="J33" i="5"/>
  <c r="E21" i="10"/>
  <c r="F21" i="10" s="1"/>
  <c r="E24" i="10"/>
  <c r="D24" i="10" s="1"/>
  <c r="D14" i="9"/>
  <c r="D16" i="9"/>
  <c r="D18" i="9"/>
  <c r="G10" i="9"/>
  <c r="K34" i="9"/>
  <c r="D33" i="9"/>
  <c r="J33" i="9"/>
  <c r="F19" i="11"/>
  <c r="E22" i="11"/>
  <c r="D22" i="11" s="1"/>
  <c r="J14" i="10"/>
  <c r="E23" i="1"/>
  <c r="F23" i="1" s="1"/>
  <c r="D17" i="8"/>
  <c r="D14" i="8"/>
  <c r="F21" i="4"/>
  <c r="E25" i="4"/>
  <c r="D25" i="4" s="1"/>
  <c r="E23" i="4"/>
  <c r="D23" i="4" s="1"/>
  <c r="D10" i="1"/>
  <c r="I10" i="1" s="1"/>
  <c r="G49" i="1"/>
  <c r="D11" i="1"/>
  <c r="E39" i="1"/>
  <c r="D48" i="6"/>
  <c r="D49" i="6" s="1"/>
  <c r="K35" i="9"/>
  <c r="E38" i="9"/>
  <c r="E34" i="6"/>
  <c r="F34" i="6" s="1"/>
  <c r="G34" i="6" s="1"/>
  <c r="D10" i="4"/>
  <c r="G10" i="4" s="1"/>
  <c r="E48" i="6"/>
  <c r="E49" i="6" s="1"/>
  <c r="I36" i="11"/>
  <c r="G9" i="11"/>
  <c r="F20" i="11"/>
  <c r="E22" i="6"/>
  <c r="F22" i="6" s="1"/>
  <c r="D11" i="6"/>
  <c r="G11" i="6" s="1"/>
  <c r="E23" i="6"/>
  <c r="F25" i="6"/>
  <c r="G10" i="6"/>
  <c r="E24" i="6"/>
  <c r="F21" i="6"/>
  <c r="D12" i="6"/>
  <c r="E39" i="6"/>
  <c r="D11" i="5"/>
  <c r="G11" i="5" s="1"/>
  <c r="D13" i="5"/>
  <c r="D15" i="5"/>
  <c r="D17" i="5"/>
  <c r="D19" i="5"/>
  <c r="E32" i="5"/>
  <c r="E27" i="5"/>
  <c r="E31" i="5"/>
  <c r="E30" i="5"/>
  <c r="F26" i="5"/>
  <c r="D24" i="5"/>
  <c r="E22" i="5"/>
  <c r="F22" i="5" s="1"/>
  <c r="F21" i="5"/>
  <c r="E39" i="5"/>
  <c r="D14" i="5"/>
  <c r="D37" i="5"/>
  <c r="D35" i="5" s="1"/>
  <c r="I35" i="5" s="1"/>
  <c r="E28" i="5"/>
  <c r="E29" i="5"/>
  <c r="G12" i="5"/>
  <c r="G10" i="5"/>
  <c r="F34" i="10"/>
  <c r="G34" i="10" s="1"/>
  <c r="J15" i="10"/>
  <c r="D11" i="10"/>
  <c r="E27" i="10"/>
  <c r="F27" i="10" s="1"/>
  <c r="E29" i="10"/>
  <c r="F29" i="10" s="1"/>
  <c r="E31" i="10"/>
  <c r="F31" i="10" s="1"/>
  <c r="E28" i="10"/>
  <c r="F28" i="10" s="1"/>
  <c r="E33" i="10"/>
  <c r="F33" i="10" s="1"/>
  <c r="F26" i="10"/>
  <c r="E32" i="10"/>
  <c r="F32" i="10" s="1"/>
  <c r="E30" i="10"/>
  <c r="F30" i="10" s="1"/>
  <c r="F24" i="10"/>
  <c r="G11" i="10"/>
  <c r="E23" i="10"/>
  <c r="F23" i="10" s="1"/>
  <c r="E25" i="10"/>
  <c r="F25" i="10" s="1"/>
  <c r="D13" i="10"/>
  <c r="D12" i="10"/>
  <c r="D16" i="10"/>
  <c r="H35" i="10"/>
  <c r="D10" i="10"/>
  <c r="G10" i="10" s="1"/>
  <c r="D18" i="10"/>
  <c r="D14" i="10"/>
  <c r="E37" i="10"/>
  <c r="D17" i="10"/>
  <c r="E36" i="10"/>
  <c r="D23" i="9"/>
  <c r="F23" i="9"/>
  <c r="D37" i="9"/>
  <c r="G12" i="9"/>
  <c r="K36" i="9"/>
  <c r="D11" i="9"/>
  <c r="G11" i="9" s="1"/>
  <c r="K11" i="9"/>
  <c r="K37" i="9"/>
  <c r="E47" i="9"/>
  <c r="E48" i="9" s="1"/>
  <c r="D15" i="9"/>
  <c r="D17" i="9"/>
  <c r="D19" i="9"/>
  <c r="D25" i="9"/>
  <c r="F25" i="9"/>
  <c r="E24" i="9"/>
  <c r="F21" i="9"/>
  <c r="D13" i="1"/>
  <c r="E27" i="1"/>
  <c r="D27" i="1" s="1"/>
  <c r="D22" i="1"/>
  <c r="D8" i="1"/>
  <c r="F22" i="1"/>
  <c r="E38" i="1"/>
  <c r="D17" i="1"/>
  <c r="D15" i="1"/>
  <c r="I32" i="1"/>
  <c r="D28" i="1"/>
  <c r="D35" i="1"/>
  <c r="D9" i="1"/>
  <c r="G9" i="1" s="1"/>
  <c r="E37" i="1"/>
  <c r="D16" i="1"/>
  <c r="D12" i="1"/>
  <c r="D20" i="1"/>
  <c r="G8" i="1"/>
  <c r="D14" i="1"/>
  <c r="D34" i="1"/>
  <c r="D33" i="1" s="1"/>
  <c r="I33" i="1" s="1"/>
  <c r="D21" i="1"/>
  <c r="D25" i="1"/>
  <c r="F25" i="1"/>
  <c r="E26" i="1"/>
  <c r="E30" i="1"/>
  <c r="E29" i="1"/>
  <c r="G11" i="4"/>
  <c r="D10" i="7"/>
  <c r="G10" i="7" s="1"/>
  <c r="D36" i="7"/>
  <c r="D35" i="7" s="1"/>
  <c r="D14" i="7"/>
  <c r="D18" i="7"/>
  <c r="E23" i="7"/>
  <c r="F23" i="7" s="1"/>
  <c r="E22" i="7"/>
  <c r="F22" i="7" s="1"/>
  <c r="F25" i="7"/>
  <c r="D25" i="7"/>
  <c r="E24" i="7"/>
  <c r="F21" i="7"/>
  <c r="F26" i="7"/>
  <c r="E31" i="7"/>
  <c r="E30" i="7"/>
  <c r="E27" i="7"/>
  <c r="E28" i="7"/>
  <c r="E29" i="7"/>
  <c r="D16" i="7"/>
  <c r="G10" i="1"/>
  <c r="E46" i="1"/>
  <c r="D47" i="1"/>
  <c r="E32" i="9"/>
  <c r="F26" i="9"/>
  <c r="E30" i="9"/>
  <c r="E31" i="9"/>
  <c r="E28" i="9"/>
  <c r="E27" i="9"/>
  <c r="E29" i="9"/>
  <c r="E30" i="8"/>
  <c r="D30" i="8" s="1"/>
  <c r="E32" i="8"/>
  <c r="F32" i="8" s="1"/>
  <c r="E33" i="8"/>
  <c r="D33" i="8" s="1"/>
  <c r="E32" i="7"/>
  <c r="K20" i="9"/>
  <c r="D33" i="11"/>
  <c r="I33" i="11" s="1"/>
  <c r="D44" i="10"/>
  <c r="D45" i="10" s="1"/>
  <c r="D11" i="8"/>
  <c r="G11" i="8" s="1"/>
  <c r="D12" i="8"/>
  <c r="I12" i="8" s="1"/>
  <c r="D16" i="8"/>
  <c r="E29" i="8"/>
  <c r="F27" i="8"/>
  <c r="E24" i="8"/>
  <c r="F24" i="8" s="1"/>
  <c r="D35" i="8"/>
  <c r="G35" i="8" s="1"/>
  <c r="E34" i="8"/>
  <c r="D32" i="8"/>
  <c r="E37" i="8"/>
  <c r="D15" i="8"/>
  <c r="D13" i="8"/>
  <c r="E31" i="8"/>
  <c r="E28" i="8"/>
  <c r="D19" i="8"/>
  <c r="E26" i="8"/>
  <c r="E22" i="8"/>
  <c r="E25" i="8"/>
  <c r="E23" i="8"/>
  <c r="F32" i="6"/>
  <c r="D32" i="6"/>
  <c r="E27" i="6"/>
  <c r="E29" i="6"/>
  <c r="E28" i="6"/>
  <c r="E31" i="6"/>
  <c r="J16" i="10"/>
  <c r="D15" i="10"/>
  <c r="E30" i="6"/>
  <c r="E25" i="11"/>
  <c r="E26" i="11"/>
  <c r="E27" i="11"/>
  <c r="E28" i="11"/>
  <c r="E29" i="11"/>
  <c r="E30" i="11"/>
  <c r="E27" i="4"/>
  <c r="E28" i="4"/>
  <c r="E29" i="4"/>
  <c r="E30" i="4"/>
  <c r="E31" i="4"/>
  <c r="E32" i="4"/>
  <c r="D47" i="11"/>
  <c r="D48" i="11" s="1"/>
  <c r="E22" i="10"/>
  <c r="E41" i="1" l="1"/>
  <c r="E42" i="1" s="1"/>
  <c r="F23" i="5"/>
  <c r="E39" i="11"/>
  <c r="E40" i="11" s="1"/>
  <c r="F40" i="11" s="1"/>
  <c r="F23" i="11"/>
  <c r="E41" i="6"/>
  <c r="E42" i="6" s="1"/>
  <c r="E41" i="5"/>
  <c r="E42" i="5" s="1"/>
  <c r="E40" i="10"/>
  <c r="E39" i="10"/>
  <c r="E42" i="9"/>
  <c r="E43" i="9" s="1"/>
  <c r="F23" i="4"/>
  <c r="D22" i="6"/>
  <c r="E41" i="4"/>
  <c r="G12" i="4"/>
  <c r="E44" i="5"/>
  <c r="E47" i="5" s="1"/>
  <c r="E48" i="5" s="1"/>
  <c r="E39" i="8"/>
  <c r="K33" i="7"/>
  <c r="D23" i="1"/>
  <c r="D19" i="1" s="1"/>
  <c r="D22" i="9"/>
  <c r="D35" i="9"/>
  <c r="D32" i="10"/>
  <c r="E47" i="1"/>
  <c r="F25" i="4"/>
  <c r="D24" i="4"/>
  <c r="D21" i="4" s="1"/>
  <c r="F24" i="4"/>
  <c r="K33" i="6"/>
  <c r="F33" i="8"/>
  <c r="F30" i="8"/>
  <c r="D22" i="5"/>
  <c r="D21" i="5" s="1"/>
  <c r="D27" i="10"/>
  <c r="F22" i="11"/>
  <c r="D21" i="11"/>
  <c r="F21" i="11"/>
  <c r="D19" i="11"/>
  <c r="K31" i="1"/>
  <c r="K33" i="4"/>
  <c r="K33" i="5"/>
  <c r="D29" i="10"/>
  <c r="D21" i="10"/>
  <c r="K33" i="9"/>
  <c r="D23" i="10"/>
  <c r="D28" i="10"/>
  <c r="D30" i="10"/>
  <c r="G12" i="8"/>
  <c r="D24" i="8"/>
  <c r="F40" i="10"/>
  <c r="D39" i="10"/>
  <c r="D41" i="6"/>
  <c r="K38" i="9"/>
  <c r="D23" i="6"/>
  <c r="F23" i="6"/>
  <c r="I12" i="6"/>
  <c r="G12" i="6"/>
  <c r="D24" i="6"/>
  <c r="F24" i="6"/>
  <c r="F31" i="5"/>
  <c r="D31" i="5"/>
  <c r="D32" i="5"/>
  <c r="F32" i="5"/>
  <c r="D30" i="5"/>
  <c r="F30" i="5"/>
  <c r="F27" i="5"/>
  <c r="D27" i="5"/>
  <c r="F29" i="5"/>
  <c r="D29" i="5"/>
  <c r="F28" i="5"/>
  <c r="D28" i="5"/>
  <c r="D33" i="10"/>
  <c r="D31" i="10"/>
  <c r="D25" i="10"/>
  <c r="H12" i="10"/>
  <c r="G12" i="10"/>
  <c r="D24" i="9"/>
  <c r="D21" i="9" s="1"/>
  <c r="F24" i="9"/>
  <c r="F27" i="1"/>
  <c r="F29" i="1"/>
  <c r="D29" i="1"/>
  <c r="D26" i="1"/>
  <c r="F26" i="1"/>
  <c r="D30" i="1"/>
  <c r="F30" i="1"/>
  <c r="E44" i="7"/>
  <c r="E47" i="7" s="1"/>
  <c r="E48" i="7" s="1"/>
  <c r="D22" i="7"/>
  <c r="D23" i="7"/>
  <c r="F24" i="7"/>
  <c r="D24" i="7"/>
  <c r="D28" i="7"/>
  <c r="F28" i="7"/>
  <c r="F30" i="7"/>
  <c r="D30" i="7"/>
  <c r="D29" i="7"/>
  <c r="F29" i="7"/>
  <c r="D27" i="7"/>
  <c r="F27" i="7"/>
  <c r="D31" i="7"/>
  <c r="F31" i="7"/>
  <c r="E45" i="10"/>
  <c r="F32" i="7"/>
  <c r="D32" i="7"/>
  <c r="E41" i="11"/>
  <c r="I49" i="11" s="1"/>
  <c r="D40" i="11"/>
  <c r="F29" i="9"/>
  <c r="D29" i="9"/>
  <c r="F28" i="9"/>
  <c r="D28" i="9"/>
  <c r="F30" i="9"/>
  <c r="D30" i="9"/>
  <c r="D32" i="9"/>
  <c r="F32" i="9"/>
  <c r="F27" i="9"/>
  <c r="D27" i="9"/>
  <c r="F31" i="9"/>
  <c r="D31" i="9"/>
  <c r="F29" i="8"/>
  <c r="D29" i="8"/>
  <c r="F22" i="8"/>
  <c r="D22" i="8"/>
  <c r="D31" i="8"/>
  <c r="F31" i="8"/>
  <c r="D26" i="8"/>
  <c r="F26" i="8"/>
  <c r="F28" i="8"/>
  <c r="D28" i="8"/>
  <c r="D34" i="8"/>
  <c r="F34" i="8"/>
  <c r="D23" i="8"/>
  <c r="F23" i="8"/>
  <c r="F25" i="8"/>
  <c r="D25" i="8"/>
  <c r="D22" i="10"/>
  <c r="F22" i="10"/>
  <c r="D31" i="4"/>
  <c r="F31" i="4"/>
  <c r="D29" i="4"/>
  <c r="F29" i="4"/>
  <c r="D27" i="4"/>
  <c r="F27" i="4"/>
  <c r="D29" i="11"/>
  <c r="F29" i="11"/>
  <c r="D27" i="11"/>
  <c r="F27" i="11"/>
  <c r="D25" i="11"/>
  <c r="F25" i="11"/>
  <c r="F30" i="6"/>
  <c r="D30" i="6"/>
  <c r="D31" i="6"/>
  <c r="F31" i="6"/>
  <c r="F29" i="6"/>
  <c r="D29" i="6"/>
  <c r="D32" i="4"/>
  <c r="F32" i="4"/>
  <c r="D30" i="4"/>
  <c r="F30" i="4"/>
  <c r="D28" i="4"/>
  <c r="F28" i="4"/>
  <c r="D30" i="11"/>
  <c r="F30" i="11"/>
  <c r="D28" i="11"/>
  <c r="F28" i="11"/>
  <c r="D26" i="11"/>
  <c r="F26" i="11"/>
  <c r="F28" i="6"/>
  <c r="D28" i="6"/>
  <c r="F27" i="6"/>
  <c r="D27" i="6"/>
  <c r="H40" i="11" l="1"/>
  <c r="F42" i="1"/>
  <c r="E43" i="1"/>
  <c r="D41" i="4"/>
  <c r="E42" i="4"/>
  <c r="H42" i="6"/>
  <c r="F42" i="6"/>
  <c r="D39" i="8"/>
  <c r="E40" i="8"/>
  <c r="H40" i="8"/>
  <c r="E43" i="4"/>
  <c r="I50" i="4" s="1"/>
  <c r="D21" i="6"/>
  <c r="E41" i="10"/>
  <c r="I46" i="10" s="1"/>
  <c r="D20" i="10"/>
  <c r="E46" i="10"/>
  <c r="D40" i="10"/>
  <c r="G40" i="10" s="1"/>
  <c r="D24" i="1"/>
  <c r="D18" i="1" s="1"/>
  <c r="D21" i="7"/>
  <c r="E43" i="6"/>
  <c r="D42" i="6"/>
  <c r="E49" i="11"/>
  <c r="D26" i="5"/>
  <c r="D20" i="5" s="1"/>
  <c r="D41" i="5" s="1"/>
  <c r="D26" i="10"/>
  <c r="D42" i="1"/>
  <c r="H42" i="1"/>
  <c r="D26" i="9"/>
  <c r="D20" i="9" s="1"/>
  <c r="D42" i="9" s="1"/>
  <c r="D21" i="8"/>
  <c r="G40" i="11"/>
  <c r="D26" i="7"/>
  <c r="D27" i="8"/>
  <c r="I48" i="1"/>
  <c r="E48" i="1"/>
  <c r="D26" i="6"/>
  <c r="D24" i="11"/>
  <c r="D18" i="11" s="1"/>
  <c r="D39" i="11" s="1"/>
  <c r="D26" i="4"/>
  <c r="D20" i="4" s="1"/>
  <c r="D20" i="6" l="1"/>
  <c r="D41" i="1"/>
  <c r="I41" i="1" s="1"/>
  <c r="F40" i="8"/>
  <c r="D40" i="8"/>
  <c r="E41" i="8"/>
  <c r="D41" i="8" s="1"/>
  <c r="D20" i="8"/>
  <c r="I20" i="8" s="1"/>
  <c r="H42" i="4"/>
  <c r="F42" i="4"/>
  <c r="D42" i="4"/>
  <c r="E50" i="4"/>
  <c r="D20" i="7"/>
  <c r="I20" i="7" s="1"/>
  <c r="D41" i="11"/>
  <c r="D19" i="10"/>
  <c r="H19" i="10" s="1"/>
  <c r="I18" i="1"/>
  <c r="D43" i="6"/>
  <c r="J42" i="6"/>
  <c r="E50" i="6"/>
  <c r="J20" i="5"/>
  <c r="D41" i="10"/>
  <c r="D46" i="10" s="1"/>
  <c r="G42" i="1"/>
  <c r="G40" i="8"/>
  <c r="G42" i="6"/>
  <c r="I20" i="4"/>
  <c r="I18" i="11"/>
  <c r="D43" i="1" l="1"/>
  <c r="I43" i="1" s="1"/>
  <c r="G42" i="4"/>
  <c r="D43" i="4"/>
  <c r="I41" i="4"/>
  <c r="I39" i="11"/>
  <c r="D50" i="6"/>
  <c r="D48" i="1" l="1"/>
  <c r="H49" i="1" s="1"/>
  <c r="I41" i="11"/>
  <c r="D49" i="11"/>
  <c r="D50" i="4"/>
  <c r="K42" i="9" l="1"/>
  <c r="E44" i="9"/>
  <c r="D43" i="9" l="1"/>
  <c r="D44" i="9" s="1"/>
  <c r="D49" i="9" s="1"/>
  <c r="K44" i="9"/>
  <c r="E49" i="9"/>
  <c r="J43" i="9"/>
  <c r="F43" i="9"/>
  <c r="H43" i="9"/>
  <c r="K43" i="9"/>
  <c r="H42" i="5"/>
  <c r="G43" i="9" l="1"/>
  <c r="E43" i="5"/>
  <c r="F42" i="5"/>
  <c r="D42" i="5"/>
  <c r="G42" i="5" l="1"/>
  <c r="D43" i="5"/>
  <c r="D49" i="5" s="1"/>
  <c r="J42" i="5"/>
  <c r="E49" i="5"/>
  <c r="E34" i="7" l="1"/>
  <c r="F34" i="7" s="1"/>
  <c r="G34" i="7" l="1"/>
  <c r="G41" i="7" s="1"/>
  <c r="F41" i="7"/>
  <c r="I41" i="7"/>
  <c r="E41" i="7"/>
  <c r="E42" i="7" s="1"/>
  <c r="D41" i="7" l="1"/>
  <c r="E43" i="7"/>
  <c r="K43" i="7" l="1"/>
  <c r="E49" i="7"/>
  <c r="J52" i="7" s="1"/>
  <c r="H42" i="7"/>
  <c r="D42" i="7"/>
  <c r="D43" i="7" s="1"/>
  <c r="D49" i="7" s="1"/>
  <c r="F42" i="7"/>
  <c r="G42" i="7" l="1"/>
</calcChain>
</file>

<file path=xl/sharedStrings.xml><?xml version="1.0" encoding="utf-8"?>
<sst xmlns="http://schemas.openxmlformats.org/spreadsheetml/2006/main" count="946" uniqueCount="144">
  <si>
    <t>Адрес дома</t>
  </si>
  <si>
    <t>тип общежития</t>
  </si>
  <si>
    <t>коридорный</t>
  </si>
  <si>
    <t>Общая площадь  помещений, в том числе:</t>
  </si>
  <si>
    <t>Условия выполнения работ и оказания услуг</t>
  </si>
  <si>
    <t>площадь жилых помещений</t>
  </si>
  <si>
    <t>жилая площадь</t>
  </si>
  <si>
    <t>площадь нежилых помещений</t>
  </si>
  <si>
    <t>Перечень видов работ и услуг</t>
  </si>
  <si>
    <r>
      <t xml:space="preserve">Стоимость работ и услуг в </t>
    </r>
    <r>
      <rPr>
        <b/>
        <u/>
        <sz val="12"/>
        <color indexed="8"/>
        <rFont val="Times New Roman"/>
        <family val="1"/>
        <charset val="204"/>
      </rPr>
      <t>год,</t>
    </r>
    <r>
      <rPr>
        <sz val="12"/>
        <color indexed="8"/>
        <rFont val="Times New Roman"/>
        <family val="1"/>
        <charset val="204"/>
      </rPr>
      <t xml:space="preserve"> рублей</t>
    </r>
  </si>
  <si>
    <t>Цена на 1 кв.м. общей площади, рублей в месяц</t>
  </si>
  <si>
    <t>Техническое обслуживание внутридомового инженерного оборудования и конструктивных элементов многоквартирного дома</t>
  </si>
  <si>
    <t>Аварийно-ремонтное обслуживание</t>
  </si>
  <si>
    <t>Круглосуточно на системах водоснабжения, теплоснабжения, канализации, энергообеспечения</t>
  </si>
  <si>
    <t>Санитарные работы по содержанию помещений общего пользования</t>
  </si>
  <si>
    <t>3.1.</t>
  </si>
  <si>
    <t>влажное подметание полов лестничных площадок и маршей нижних 3-х этажей</t>
  </si>
  <si>
    <t>5 раз в неделю</t>
  </si>
  <si>
    <t>3.2.</t>
  </si>
  <si>
    <t>влажное подметание полов лестничных площадок и маршей выше третьего этажа</t>
  </si>
  <si>
    <t xml:space="preserve"> 2 раза в неделю</t>
  </si>
  <si>
    <t>3.3.</t>
  </si>
  <si>
    <t>влажное подметание мест перед загрузочными клапанами</t>
  </si>
  <si>
    <t>3.4.</t>
  </si>
  <si>
    <t xml:space="preserve">мытье полов лестничных площадок и маршей </t>
  </si>
  <si>
    <t>2 раза в месяц</t>
  </si>
  <si>
    <t>3.5.</t>
  </si>
  <si>
    <t>мытье полов кабины лифтов</t>
  </si>
  <si>
    <t>3.6.</t>
  </si>
  <si>
    <t>мытье окон, влажная протирка подоконников, отопительных приборов, стен, дверей, плафонов,   чердачных лестниц, шкафов  для электросчётчиков , почтовых ящиков, обметание пыли с потолков</t>
  </si>
  <si>
    <t>1 раз в год</t>
  </si>
  <si>
    <t>3.7.</t>
  </si>
  <si>
    <t>влажная протирка стен, дверей, плафонови потолков кабины лифтов</t>
  </si>
  <si>
    <t>1 раз в месяц</t>
  </si>
  <si>
    <t xml:space="preserve">Уборка земельного участка, входящего в состав общего имущества дома </t>
  </si>
  <si>
    <t>%</t>
  </si>
  <si>
    <t>в теплый период</t>
  </si>
  <si>
    <t>4.1.</t>
  </si>
  <si>
    <t>подметание  территории асфальта в летний период (в дни без осадков или с осадками до 2 см)</t>
  </si>
  <si>
    <t xml:space="preserve"> территория 1 класса 1 раз в двое суток ,  3 класса  1 раз в сутки</t>
  </si>
  <si>
    <t>4.2.</t>
  </si>
  <si>
    <t>частичная уборка территории (в дни с осадками более 2 см)</t>
  </si>
  <si>
    <t>50% асфальта 1,2,3 класса 1 раз в двое суток</t>
  </si>
  <si>
    <t>4.3.</t>
  </si>
  <si>
    <t>уборка газонов  в летний период, в т. ч. кошение газонов</t>
  </si>
  <si>
    <t>50% территории -3 раза в неделю</t>
  </si>
  <si>
    <t>4.4.</t>
  </si>
  <si>
    <t xml:space="preserve">подметание ступеней и площадки перед входом в подъезд </t>
  </si>
  <si>
    <t>2 раза в неделю</t>
  </si>
  <si>
    <t xml:space="preserve">в холодный  период </t>
  </si>
  <si>
    <t>4.5.</t>
  </si>
  <si>
    <t>уборка территории</t>
  </si>
  <si>
    <t xml:space="preserve">территория  3 класса 1 раз в сутки , 2 и 1 класса  - 1 раз в двое суток  </t>
  </si>
  <si>
    <t>4.6.</t>
  </si>
  <si>
    <t>сдвигание свежевыпавшего снега в дни сильных снегопадов</t>
  </si>
  <si>
    <t>1 раз в сутки в дни сильных снегопадов</t>
  </si>
  <si>
    <t>4.7.</t>
  </si>
  <si>
    <t xml:space="preserve">очистка участков территории от снега и наледи при проведении механизированной уборки </t>
  </si>
  <si>
    <t xml:space="preserve">по мере необходимости </t>
  </si>
  <si>
    <t>4.08.</t>
  </si>
  <si>
    <t xml:space="preserve">посыпка территории песком  </t>
  </si>
  <si>
    <t>1 раз в сутки во время гололёда</t>
  </si>
  <si>
    <t>4.09.</t>
  </si>
  <si>
    <t>очистка от наледи и льда крышек люков и пожарных колодцев</t>
  </si>
  <si>
    <t>1 раз в неделю</t>
  </si>
  <si>
    <t>4.10.</t>
  </si>
  <si>
    <t>сметание снега со ступенек перед входом в подъезд</t>
  </si>
  <si>
    <t>4 раза в неделю</t>
  </si>
  <si>
    <t>Обслуживание мусоропроводов</t>
  </si>
  <si>
    <t>удаление мусора из мусороприёмных камер, в т.ч. устранение засора  при его возникновении, уборка мусороприемных камер</t>
  </si>
  <si>
    <t>уборка загрузочных клапанов мусоропровода</t>
  </si>
  <si>
    <t>Содержание и обслуживание лифтов</t>
  </si>
  <si>
    <t>Итого стоимость работ и услуг</t>
  </si>
  <si>
    <t>Управление многоквартирным домом</t>
  </si>
  <si>
    <t>Планирование работ по текущему содержанию  общего имущества многоквартирного дома, планирование финансовых и технических ресурсов; осуществление систематического контроля над качеством услуг, работ подрядчиков и за исполнением иных договорных обязательств; оплата работ и услуг подрядчиков в соответствии с заключенными договорами, взыскание задолженности по оплате ЖКУ, ведение тех.документации, работа с населением в т.ч. рассмотрение обращений и жалоб по качеству обслуживания и др.</t>
  </si>
  <si>
    <t>Итого стоимость работ и услуг по содержанию  общего имущества дома</t>
  </si>
  <si>
    <t>Текущий ремонт</t>
  </si>
  <si>
    <t>Планирование работ по текущему ремонту  общего имущества многоквартирного дома, планирование финансовых и технических ресурсов; осуществление систематического контроля над качеством услуг, работ подрядчиков и за исполнением иных договорных обязательств; оплата работ и услуг подрядчиков в соответствии с заключенными договорами, взыскание задолженности по оплате ЖКУ, ведение тех.документации, работа с населением в т.ч. рассмотрение обращений и жалоб по качеству ремонту и др.</t>
  </si>
  <si>
    <t>Итого стоимость работ и услуг по текущему ремонту  общего имущества дома</t>
  </si>
  <si>
    <t>Всего стоимость работ и услуг по содержанию и ремонту общего имущества дома</t>
  </si>
  <si>
    <t>Управляющая организация</t>
  </si>
  <si>
    <t xml:space="preserve">                    Собственник</t>
  </si>
  <si>
    <t xml:space="preserve">Исполнительный директор   _____________С. В.  Соловьев                          </t>
  </si>
  <si>
    <t xml:space="preserve">                    Глава администрации _______________ Г. Н. Шатула</t>
  </si>
  <si>
    <t>Обслуживание ОПУ</t>
  </si>
  <si>
    <t>в соответствии с заключённым договором со специализированной организацией</t>
  </si>
  <si>
    <t>Обслуживание CАРТ</t>
  </si>
  <si>
    <t>Столетова, 28</t>
  </si>
  <si>
    <t>Обслуживание охранной сигнализации</t>
  </si>
  <si>
    <t>Столетова, 25</t>
  </si>
  <si>
    <t>Объединения, 35/1</t>
  </si>
  <si>
    <t>Cодержание и обслуживание лифтов</t>
  </si>
  <si>
    <t>Планирование работ по текущему содержанию общего имущества многоквартирного дома, планирование финансовых и технических ресурсов; осуществление систематического контроля над качеством услуг, работ подрядчиков и за исполнением иных договорных обязательств; оплата работ и услуг подрядчиков в соответствии с заключенными договорами, взыскание задолженности по оплате ЖКУ, ведение тех.документации, работа с населением в т.ч. рассмотрение обращений и жалоб по качеству обслуживания и др.</t>
  </si>
  <si>
    <t>Итого стоимость работ и услуг по содержанию и ремонту общего имущества дома</t>
  </si>
  <si>
    <t>Планирование работ по текущему ремонту общего имущества многоквартирного дома, планирование финансовых и технических ресурсов; осуществление систематического контроля над качеством ремонта, работ подрядчиков и за исполнением иных договорных обязательств; оплата работ  подрядчиков в соответствии с заключенными договорами, взыскание задолженности по оплате ЖКУ, ведение тех.документации, работа с населением в т.ч. рассмотрение обращений и жалоб по качеству ремонта и др.</t>
  </si>
  <si>
    <t>Итого стоимость работ по текущему ремонту общего имущества дома</t>
  </si>
  <si>
    <t>Объединения, 35/2</t>
  </si>
  <si>
    <t>Поверка ОПУ</t>
  </si>
  <si>
    <t>Столетова, 2</t>
  </si>
  <si>
    <t>Столетова, 26</t>
  </si>
  <si>
    <t>уборка контейнерной площадки</t>
  </si>
  <si>
    <t>7 раз в неделю</t>
  </si>
  <si>
    <t>4.8.</t>
  </si>
  <si>
    <t>4.9.</t>
  </si>
  <si>
    <t>4.11.</t>
  </si>
  <si>
    <t>4.12.</t>
  </si>
  <si>
    <t>очистка контейнерной площадки</t>
  </si>
  <si>
    <t>Итого стоимость работ и услуг по содержанию общего имущества дома</t>
  </si>
  <si>
    <t>Столетова, 30</t>
  </si>
  <si>
    <t xml:space="preserve">                    Собствененник</t>
  </si>
  <si>
    <t>Столетова, 32</t>
  </si>
  <si>
    <t>Макаренко, 22</t>
  </si>
  <si>
    <t>Управление многоквартирным домом 13%</t>
  </si>
  <si>
    <t>Дератизация, дезинсекция.дезинфекция</t>
  </si>
  <si>
    <t>дератизация подвалов - 1 раз в квартал, дезинсекция  по заявкам, дезинфекция контенеров и шиберов в мусорамерах и помещениий мусорокамер - 1 раз в месяц</t>
  </si>
  <si>
    <t>7.1.</t>
  </si>
  <si>
    <t>7.2.</t>
  </si>
  <si>
    <t>Уборка выкатной контейнерной площадки</t>
  </si>
  <si>
    <t xml:space="preserve">Приложение №    к доп соглашению                                                  от_____________  г.                                                       к договору                                        № ____  от  _____________ г. </t>
  </si>
  <si>
    <t>Перечень всех работ и услуг по содержанию и ремонту общего имущества в многоквартирном доме Столетова, 2 и их стоимость на 2018 год</t>
  </si>
  <si>
    <t>Перечень всех работ и услуг по содержанию и ремонту общего имущества в многоквартирном доме Столетова, 25 и их стоимость на 2018 год</t>
  </si>
  <si>
    <t>Перечень всех работ и услуг по содержанию и ремонту общего имущества в многоквартирном доме Столетова, 26 и их стоимость на 2018 год</t>
  </si>
  <si>
    <t>Перечень всех работ и услуг по содержанию и ремонту общего имущества в многоквартирном доме Столетова, 28 и их стоимость на 2018 год</t>
  </si>
  <si>
    <t>Перечень всех работ и услуг по содержанию и ремонту общего имущества в многоквартирном доме Столетова, 30 и их стоимость на 2018 год</t>
  </si>
  <si>
    <t>Перечень всех работ и услуг по содержанию и ремонту общего имущества в многоквартирном доме Столетова, 32 и их стоимость на 2018 год</t>
  </si>
  <si>
    <t>Перечень всех работ и услуг по содержанию и ремонту общего имущества в многоквартирном доме Объединения, 35/1 и их стоимость на 2018 год</t>
  </si>
  <si>
    <t xml:space="preserve">Управление многоквартирным домом </t>
  </si>
  <si>
    <t>Перечень всех работ и услуг по содержанию и ремонту общего имущества в многоквартирном доме Объединения, 35/2 и их стоимость на 2018 год</t>
  </si>
  <si>
    <t>Перечень всех работ и услуг по содержанию и ремонту общего имущества в многоквартирном доме Макаренко, 22 и их стоимость на 2018 год</t>
  </si>
  <si>
    <t>Вывоз и утилизация ТБО И КГО</t>
  </si>
  <si>
    <t>ежедневно</t>
  </si>
  <si>
    <t xml:space="preserve">Проведение технических осмотров, профилактический ремонт и устранение незначительных неисправностей в системах отопления, водоснабжения, водоотведения, электроснабжения и в конструктивных элементах здания, а также: регулировка , наладка и испытание систем центрального отопления; промывка , опресовка, консервация и расконсервация системы центрального отопления и поливочных систем;мелкий ремонт изоляции, проверка исправности канализационных вытяжек и устранение причин при обнаружении их неисправности; ремонт  окон и дверей; очистка кровли от мусора, грязи, снега, наледи, снежных шапок и сосулек т.д.                                                                                             </t>
  </si>
  <si>
    <t>ремонт межпанельных стыков</t>
  </si>
  <si>
    <t>уастановка окон ПВХ</t>
  </si>
  <si>
    <t>ремонт фасада</t>
  </si>
  <si>
    <t>ремонт кровли</t>
  </si>
  <si>
    <t>Дополнительная работа</t>
  </si>
  <si>
    <t>техническое обслуживание видеонаблюдения</t>
  </si>
  <si>
    <t>установка окон ПВХ</t>
  </si>
  <si>
    <t>герметизация ввода</t>
  </si>
  <si>
    <t>смена крыловых задвижек</t>
  </si>
  <si>
    <t>вывоз снега</t>
  </si>
  <si>
    <t>установка утепленного дверного блока на кровлю</t>
  </si>
  <si>
    <t>установка искусственной дорожной неровности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</si>
</sst>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0.0000"/>
    <numFmt numFmtId="166" formatCode="#,##0.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2"/>
      <color theme="1" tint="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 tint="0.34998626667073579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49" fontId="3" fillId="0" borderId="0" xfId="1" applyNumberFormat="1" applyFont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distributed" wrapText="1"/>
    </xf>
    <xf numFmtId="4" fontId="4" fillId="2" borderId="1" xfId="1" applyNumberFormat="1" applyFont="1" applyFill="1" applyBorder="1" applyAlignment="1">
      <alignment horizontal="center" vertical="center" wrapText="1"/>
    </xf>
    <xf numFmtId="2" fontId="3" fillId="0" borderId="0" xfId="1" applyNumberFormat="1" applyFont="1"/>
    <xf numFmtId="0" fontId="3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/>
    </xf>
    <xf numFmtId="0" fontId="3" fillId="0" borderId="0" xfId="1" applyFont="1" applyFill="1"/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/>
    <xf numFmtId="16" fontId="3" fillId="0" borderId="1" xfId="1" applyNumberFormat="1" applyFont="1" applyFill="1" applyBorder="1" applyAlignment="1">
      <alignment horizontal="right"/>
    </xf>
    <xf numFmtId="164" fontId="3" fillId="0" borderId="0" xfId="1" applyNumberFormat="1" applyFont="1"/>
    <xf numFmtId="0" fontId="6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/>
    </xf>
    <xf numFmtId="2" fontId="3" fillId="0" borderId="2" xfId="1" applyNumberFormat="1" applyFont="1" applyFill="1" applyBorder="1"/>
    <xf numFmtId="0" fontId="3" fillId="0" borderId="1" xfId="1" applyFont="1" applyFill="1" applyBorder="1"/>
    <xf numFmtId="164" fontId="3" fillId="3" borderId="0" xfId="1" applyNumberFormat="1" applyFont="1" applyFill="1"/>
    <xf numFmtId="0" fontId="3" fillId="4" borderId="1" xfId="1" applyFont="1" applyFill="1" applyBorder="1" applyAlignment="1">
      <alignment horizontal="left" vertical="center" wrapText="1"/>
    </xf>
    <xf numFmtId="0" fontId="3" fillId="0" borderId="2" xfId="1" applyFont="1" applyFill="1" applyBorder="1"/>
    <xf numFmtId="0" fontId="3" fillId="5" borderId="0" xfId="1" applyFont="1" applyFill="1"/>
    <xf numFmtId="0" fontId="4" fillId="2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right"/>
    </xf>
    <xf numFmtId="0" fontId="3" fillId="2" borderId="1" xfId="1" applyFont="1" applyFill="1" applyBorder="1"/>
    <xf numFmtId="0" fontId="3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65" fontId="3" fillId="0" borderId="0" xfId="1" applyNumberFormat="1" applyFont="1"/>
    <xf numFmtId="0" fontId="3" fillId="0" borderId="1" xfId="1" applyFont="1" applyBorder="1" applyAlignment="1">
      <alignment horizontal="left" vertical="center" wrapText="1"/>
    </xf>
    <xf numFmtId="0" fontId="4" fillId="2" borderId="1" xfId="1" applyFont="1" applyFill="1" applyBorder="1"/>
    <xf numFmtId="2" fontId="3" fillId="0" borderId="0" xfId="1" applyNumberFormat="1" applyFont="1" applyFill="1"/>
    <xf numFmtId="0" fontId="4" fillId="2" borderId="1" xfId="1" applyFont="1" applyFill="1" applyBorder="1" applyAlignment="1">
      <alignment horizontal="left" vertical="center"/>
    </xf>
    <xf numFmtId="0" fontId="4" fillId="6" borderId="1" xfId="1" applyFont="1" applyFill="1" applyBorder="1"/>
    <xf numFmtId="0" fontId="3" fillId="6" borderId="1" xfId="1" applyFont="1" applyFill="1" applyBorder="1"/>
    <xf numFmtId="4" fontId="4" fillId="6" borderId="1" xfId="1" applyNumberFormat="1" applyFont="1" applyFill="1" applyBorder="1" applyAlignment="1">
      <alignment horizontal="center"/>
    </xf>
    <xf numFmtId="0" fontId="3" fillId="4" borderId="1" xfId="1" applyFont="1" applyFill="1" applyBorder="1"/>
    <xf numFmtId="4" fontId="3" fillId="4" borderId="1" xfId="1" applyNumberFormat="1" applyFont="1" applyFill="1" applyBorder="1" applyAlignment="1">
      <alignment horizontal="center"/>
    </xf>
    <xf numFmtId="4" fontId="3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4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/>
    </xf>
    <xf numFmtId="0" fontId="4" fillId="0" borderId="0" xfId="1" applyFont="1" applyAlignment="1"/>
    <xf numFmtId="0" fontId="4" fillId="0" borderId="0" xfId="1" applyFont="1"/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0" xfId="2" applyFont="1" applyAlignment="1">
      <alignment horizontal="right"/>
    </xf>
    <xf numFmtId="0" fontId="3" fillId="0" borderId="0" xfId="2" applyFont="1"/>
    <xf numFmtId="0" fontId="3" fillId="0" borderId="1" xfId="2" applyFont="1" applyBorder="1" applyAlignment="1">
      <alignment horizontal="right"/>
    </xf>
    <xf numFmtId="0" fontId="3" fillId="0" borderId="1" xfId="2" applyFont="1" applyBorder="1" applyAlignment="1">
      <alignment horizontal="center" vertical="center"/>
    </xf>
    <xf numFmtId="49" fontId="3" fillId="0" borderId="0" xfId="2" applyNumberFormat="1" applyFont="1"/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wrapText="1"/>
    </xf>
    <xf numFmtId="0" fontId="4" fillId="2" borderId="1" xfId="2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2" fontId="3" fillId="0" borderId="0" xfId="2" applyNumberFormat="1" applyFont="1"/>
    <xf numFmtId="0" fontId="3" fillId="2" borderId="1" xfId="2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/>
    </xf>
    <xf numFmtId="0" fontId="3" fillId="0" borderId="0" xfId="2" applyFont="1" applyFill="1"/>
    <xf numFmtId="0" fontId="3" fillId="0" borderId="1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center"/>
    </xf>
    <xf numFmtId="164" fontId="3" fillId="0" borderId="0" xfId="2" applyNumberFormat="1" applyFont="1" applyFill="1"/>
    <xf numFmtId="16" fontId="3" fillId="0" borderId="1" xfId="2" applyNumberFormat="1" applyFont="1" applyFill="1" applyBorder="1" applyAlignment="1">
      <alignment horizontal="right"/>
    </xf>
    <xf numFmtId="164" fontId="3" fillId="0" borderId="0" xfId="2" applyNumberFormat="1" applyFont="1"/>
    <xf numFmtId="0" fontId="6" fillId="0" borderId="1" xfId="2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/>
    </xf>
    <xf numFmtId="2" fontId="3" fillId="0" borderId="2" xfId="2" applyNumberFormat="1" applyFont="1" applyFill="1" applyBorder="1"/>
    <xf numFmtId="0" fontId="3" fillId="0" borderId="1" xfId="2" applyFont="1" applyFill="1" applyBorder="1"/>
    <xf numFmtId="164" fontId="3" fillId="3" borderId="0" xfId="2" applyNumberFormat="1" applyFont="1" applyFill="1"/>
    <xf numFmtId="0" fontId="3" fillId="4" borderId="1" xfId="2" applyFont="1" applyFill="1" applyBorder="1" applyAlignment="1">
      <alignment horizontal="left" vertical="center" wrapText="1"/>
    </xf>
    <xf numFmtId="0" fontId="3" fillId="0" borderId="2" xfId="2" applyFont="1" applyFill="1" applyBorder="1"/>
    <xf numFmtId="0" fontId="3" fillId="5" borderId="0" xfId="2" applyFont="1" applyFill="1"/>
    <xf numFmtId="0" fontId="4" fillId="2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right"/>
    </xf>
    <xf numFmtId="0" fontId="3" fillId="2" borderId="1" xfId="2" applyFont="1" applyFill="1" applyBorder="1"/>
    <xf numFmtId="0" fontId="3" fillId="0" borderId="1" xfId="2" applyFont="1" applyFill="1" applyBorder="1" applyAlignment="1">
      <alignment vertical="center" wrapText="1"/>
    </xf>
    <xf numFmtId="0" fontId="3" fillId="0" borderId="1" xfId="2" applyFont="1" applyBorder="1" applyAlignment="1">
      <alignment horizontal="center"/>
    </xf>
    <xf numFmtId="4" fontId="3" fillId="0" borderId="1" xfId="2" applyNumberFormat="1" applyFont="1" applyBorder="1" applyAlignment="1">
      <alignment horizontal="center"/>
    </xf>
    <xf numFmtId="165" fontId="3" fillId="0" borderId="0" xfId="2" applyNumberFormat="1" applyFont="1"/>
    <xf numFmtId="0" fontId="3" fillId="0" borderId="1" xfId="2" applyFont="1" applyBorder="1" applyAlignment="1">
      <alignment horizontal="left" vertical="center" wrapText="1"/>
    </xf>
    <xf numFmtId="0" fontId="4" fillId="2" borderId="1" xfId="2" applyFont="1" applyFill="1" applyBorder="1"/>
    <xf numFmtId="2" fontId="3" fillId="0" borderId="0" xfId="2" applyNumberFormat="1" applyFont="1" applyFill="1"/>
    <xf numFmtId="0" fontId="4" fillId="2" borderId="1" xfId="2" applyFont="1" applyFill="1" applyBorder="1" applyAlignment="1">
      <alignment horizontal="left" vertical="center"/>
    </xf>
    <xf numFmtId="0" fontId="4" fillId="6" borderId="1" xfId="2" applyFont="1" applyFill="1" applyBorder="1"/>
    <xf numFmtId="0" fontId="3" fillId="6" borderId="1" xfId="2" applyFont="1" applyFill="1" applyBorder="1"/>
    <xf numFmtId="4" fontId="4" fillId="6" borderId="1" xfId="2" applyNumberFormat="1" applyFont="1" applyFill="1" applyBorder="1" applyAlignment="1">
      <alignment horizontal="center"/>
    </xf>
    <xf numFmtId="0" fontId="3" fillId="4" borderId="1" xfId="2" applyFont="1" applyFill="1" applyBorder="1"/>
    <xf numFmtId="4" fontId="3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>
      <alignment horizontal="left" vertical="center"/>
    </xf>
    <xf numFmtId="4" fontId="4" fillId="4" borderId="1" xfId="2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/>
    </xf>
    <xf numFmtId="0" fontId="4" fillId="0" borderId="0" xfId="2" applyFont="1" applyAlignment="1"/>
    <xf numFmtId="0" fontId="4" fillId="0" borderId="0" xfId="2" applyFont="1"/>
    <xf numFmtId="4" fontId="3" fillId="0" borderId="0" xfId="1" applyNumberFormat="1" applyFont="1"/>
    <xf numFmtId="166" fontId="3" fillId="0" borderId="1" xfId="1" applyNumberFormat="1" applyFont="1" applyFill="1" applyBorder="1" applyAlignment="1">
      <alignment horizontal="center"/>
    </xf>
    <xf numFmtId="0" fontId="4" fillId="4" borderId="1" xfId="1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4" fillId="6" borderId="2" xfId="1" applyFont="1" applyFill="1" applyBorder="1"/>
    <xf numFmtId="4" fontId="3" fillId="0" borderId="1" xfId="1" applyNumberFormat="1" applyFont="1" applyFill="1" applyBorder="1" applyAlignment="1">
      <alignment horizontal="right"/>
    </xf>
    <xf numFmtId="0" fontId="4" fillId="6" borderId="1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 wrapText="1"/>
    </xf>
    <xf numFmtId="4" fontId="3" fillId="6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2" fontId="6" fillId="0" borderId="1" xfId="2" applyNumberFormat="1" applyFont="1" applyFill="1" applyBorder="1" applyAlignment="1">
      <alignment horizontal="center"/>
    </xf>
    <xf numFmtId="2" fontId="3" fillId="0" borderId="1" xfId="2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0" fontId="3" fillId="0" borderId="1" xfId="3" applyFont="1" applyBorder="1"/>
    <xf numFmtId="0" fontId="3" fillId="0" borderId="1" xfId="3" applyFont="1" applyBorder="1" applyAlignment="1">
      <alignment wrapText="1"/>
    </xf>
    <xf numFmtId="0" fontId="3" fillId="0" borderId="1" xfId="3" applyFont="1" applyBorder="1" applyAlignment="1">
      <alignment horizontal="center"/>
    </xf>
    <xf numFmtId="4" fontId="3" fillId="0" borderId="1" xfId="3" applyNumberFormat="1" applyFont="1" applyBorder="1" applyAlignment="1">
      <alignment horizontal="center"/>
    </xf>
    <xf numFmtId="0" fontId="3" fillId="0" borderId="0" xfId="3" applyFont="1"/>
    <xf numFmtId="167" fontId="3" fillId="0" borderId="0" xfId="1" applyNumberFormat="1" applyFont="1"/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wrapText="1"/>
    </xf>
    <xf numFmtId="4" fontId="4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7" borderId="1" xfId="1" applyFont="1" applyFill="1" applyBorder="1" applyAlignment="1">
      <alignment horizontal="right"/>
    </xf>
    <xf numFmtId="0" fontId="4" fillId="7" borderId="1" xfId="1" applyFont="1" applyFill="1" applyBorder="1" applyAlignment="1">
      <alignment horizontal="center" vertical="center" wrapText="1"/>
    </xf>
    <xf numFmtId="4" fontId="4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4" fontId="4" fillId="7" borderId="1" xfId="1" applyNumberFormat="1" applyFont="1" applyFill="1" applyBorder="1" applyAlignment="1">
      <alignment horizontal="center"/>
    </xf>
    <xf numFmtId="0" fontId="4" fillId="7" borderId="1" xfId="1" applyFont="1" applyFill="1" applyBorder="1" applyAlignment="1">
      <alignment horizontal="left" vertical="center" wrapText="1"/>
    </xf>
    <xf numFmtId="0" fontId="4" fillId="7" borderId="1" xfId="1" applyFont="1" applyFill="1" applyBorder="1"/>
    <xf numFmtId="0" fontId="3" fillId="7" borderId="1" xfId="1" applyFont="1" applyFill="1" applyBorder="1"/>
    <xf numFmtId="0" fontId="4" fillId="7" borderId="1" xfId="2" applyFont="1" applyFill="1" applyBorder="1"/>
    <xf numFmtId="0" fontId="3" fillId="7" borderId="1" xfId="2" applyFont="1" applyFill="1" applyBorder="1"/>
    <xf numFmtId="4" fontId="4" fillId="7" borderId="1" xfId="2" applyNumberFormat="1" applyFont="1" applyFill="1" applyBorder="1" applyAlignment="1">
      <alignment horizontal="center"/>
    </xf>
    <xf numFmtId="0" fontId="4" fillId="0" borderId="1" xfId="1" applyFont="1" applyFill="1" applyBorder="1"/>
    <xf numFmtId="2" fontId="8" fillId="0" borderId="0" xfId="1" applyNumberFormat="1" applyFont="1"/>
    <xf numFmtId="2" fontId="9" fillId="0" borderId="0" xfId="1" applyNumberFormat="1" applyFont="1"/>
    <xf numFmtId="0" fontId="9" fillId="0" borderId="0" xfId="1" applyFont="1"/>
    <xf numFmtId="2" fontId="3" fillId="0" borderId="0" xfId="1" applyNumberFormat="1" applyFont="1" applyFill="1" applyBorder="1"/>
    <xf numFmtId="0" fontId="3" fillId="0" borderId="0" xfId="1" applyFont="1" applyFill="1" applyBorder="1"/>
    <xf numFmtId="4" fontId="4" fillId="10" borderId="1" xfId="1" applyNumberFormat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left" vertical="center" wrapText="1"/>
    </xf>
    <xf numFmtId="4" fontId="3" fillId="9" borderId="1" xfId="1" applyNumberFormat="1" applyFont="1" applyFill="1" applyBorder="1" applyAlignment="1">
      <alignment horizontal="center"/>
    </xf>
    <xf numFmtId="4" fontId="3" fillId="9" borderId="1" xfId="2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4" fillId="9" borderId="1" xfId="1" applyFont="1" applyFill="1" applyBorder="1" applyAlignment="1">
      <alignment horizontal="left" vertical="center" wrapText="1"/>
    </xf>
    <xf numFmtId="4" fontId="4" fillId="9" borderId="1" xfId="2" applyNumberFormat="1" applyFont="1" applyFill="1" applyBorder="1" applyAlignment="1">
      <alignment horizontal="center"/>
    </xf>
    <xf numFmtId="4" fontId="4" fillId="9" borderId="1" xfId="1" applyNumberFormat="1" applyFont="1" applyFill="1" applyBorder="1" applyAlignment="1">
      <alignment horizontal="center"/>
    </xf>
    <xf numFmtId="2" fontId="4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/>
    <xf numFmtId="164" fontId="4" fillId="0" borderId="0" xfId="1" applyNumberFormat="1" applyFont="1" applyFill="1"/>
    <xf numFmtId="2" fontId="10" fillId="0" borderId="0" xfId="1" applyNumberFormat="1" applyFont="1"/>
    <xf numFmtId="0" fontId="3" fillId="10" borderId="1" xfId="1" applyFont="1" applyFill="1" applyBorder="1" applyAlignment="1">
      <alignment horizontal="right"/>
    </xf>
    <xf numFmtId="0" fontId="4" fillId="10" borderId="1" xfId="2" applyFont="1" applyFill="1" applyBorder="1"/>
    <xf numFmtId="0" fontId="3" fillId="10" borderId="1" xfId="2" applyFont="1" applyFill="1" applyBorder="1"/>
    <xf numFmtId="4" fontId="4" fillId="10" borderId="1" xfId="2" applyNumberFormat="1" applyFont="1" applyFill="1" applyBorder="1" applyAlignment="1">
      <alignment horizontal="center"/>
    </xf>
    <xf numFmtId="0" fontId="3" fillId="10" borderId="0" xfId="2" applyFont="1" applyFill="1"/>
    <xf numFmtId="4" fontId="4" fillId="9" borderId="1" xfId="1" applyNumberFormat="1" applyFont="1" applyFill="1" applyBorder="1" applyAlignment="1">
      <alignment horizontal="center" vertical="center" wrapText="1"/>
    </xf>
    <xf numFmtId="0" fontId="4" fillId="10" borderId="1" xfId="1" applyFont="1" applyFill="1" applyBorder="1"/>
    <xf numFmtId="0" fontId="3" fillId="10" borderId="1" xfId="1" applyFont="1" applyFill="1" applyBorder="1" applyAlignment="1">
      <alignment wrapText="1"/>
    </xf>
    <xf numFmtId="4" fontId="4" fillId="10" borderId="1" xfId="1" applyNumberFormat="1" applyFont="1" applyFill="1" applyBorder="1" applyAlignment="1">
      <alignment horizontal="center"/>
    </xf>
    <xf numFmtId="0" fontId="3" fillId="4" borderId="4" xfId="1" applyFont="1" applyFill="1" applyBorder="1" applyAlignment="1">
      <alignment horizontal="right"/>
    </xf>
    <xf numFmtId="0" fontId="4" fillId="6" borderId="4" xfId="1" applyFont="1" applyFill="1" applyBorder="1"/>
    <xf numFmtId="0" fontId="3" fillId="6" borderId="4" xfId="1" applyFont="1" applyFill="1" applyBorder="1"/>
    <xf numFmtId="4" fontId="4" fillId="6" borderId="4" xfId="1" applyNumberFormat="1" applyFont="1" applyFill="1" applyBorder="1" applyAlignment="1">
      <alignment horizontal="center"/>
    </xf>
    <xf numFmtId="0" fontId="3" fillId="10" borderId="5" xfId="1" applyFont="1" applyFill="1" applyBorder="1" applyAlignment="1">
      <alignment horizontal="right"/>
    </xf>
    <xf numFmtId="0" fontId="4" fillId="10" borderId="5" xfId="1" applyFont="1" applyFill="1" applyBorder="1" applyAlignment="1">
      <alignment horizontal="left" vertical="center" wrapText="1"/>
    </xf>
    <xf numFmtId="0" fontId="3" fillId="10" borderId="5" xfId="1" applyFont="1" applyFill="1" applyBorder="1" applyAlignment="1">
      <alignment horizontal="center" vertical="center" wrapText="1"/>
    </xf>
    <xf numFmtId="4" fontId="4" fillId="10" borderId="5" xfId="1" applyNumberFormat="1" applyFont="1" applyFill="1" applyBorder="1" applyAlignment="1">
      <alignment horizontal="center"/>
    </xf>
    <xf numFmtId="0" fontId="3" fillId="10" borderId="0" xfId="1" applyFont="1" applyFill="1" applyBorder="1" applyAlignment="1">
      <alignment horizontal="right"/>
    </xf>
    <xf numFmtId="0" fontId="4" fillId="10" borderId="0" xfId="1" applyFont="1" applyFill="1" applyBorder="1"/>
    <xf numFmtId="0" fontId="3" fillId="10" borderId="0" xfId="1" applyFont="1" applyFill="1" applyBorder="1" applyAlignment="1">
      <alignment horizontal="center"/>
    </xf>
    <xf numFmtId="4" fontId="4" fillId="10" borderId="0" xfId="1" applyNumberFormat="1" applyFont="1" applyFill="1" applyBorder="1" applyAlignment="1">
      <alignment horizontal="center"/>
    </xf>
    <xf numFmtId="0" fontId="4" fillId="11" borderId="1" xfId="1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justify" vertical="distributed" wrapText="1"/>
    </xf>
    <xf numFmtId="0" fontId="4" fillId="12" borderId="1" xfId="1" applyFont="1" applyFill="1" applyBorder="1"/>
    <xf numFmtId="0" fontId="3" fillId="12" borderId="1" xfId="1" applyFont="1" applyFill="1" applyBorder="1"/>
    <xf numFmtId="4" fontId="4" fillId="12" borderId="1" xfId="1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vertical="center" wrapText="1"/>
    </xf>
    <xf numFmtId="0" fontId="3" fillId="0" borderId="1" xfId="1" applyFont="1" applyBorder="1"/>
    <xf numFmtId="4" fontId="4" fillId="0" borderId="1" xfId="1" applyNumberFormat="1" applyFont="1" applyBorder="1" applyAlignment="1">
      <alignment horizontal="center"/>
    </xf>
    <xf numFmtId="0" fontId="4" fillId="10" borderId="1" xfId="1" applyFont="1" applyFill="1" applyBorder="1" applyAlignment="1">
      <alignment horizontal="left"/>
    </xf>
    <xf numFmtId="0" fontId="3" fillId="4" borderId="4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0" fontId="3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8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перечень 2012 3 уч." xfId="1"/>
    <cellStyle name="Обычный_перечень 2012 3 уч._участок 1 2015 2-5 эт." xfId="4"/>
    <cellStyle name="Обычный_перечень 2012 3 уч._участок 1 2015 9 эт." xfId="2"/>
    <cellStyle name="Обычный_перечень 2012 3 уч._участок 2 2015   5-эт." xfId="3"/>
  </cellStyles>
  <dxfs count="0"/>
  <tableStyles count="0" defaultTableStyle="TableStyleMedium2" defaultPivotStyle="PivotStyleMedium9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topLeftCell="A20" zoomScale="60" zoomScaleNormal="60" workbookViewId="0">
      <selection activeCell="C45" sqref="C45"/>
    </sheetView>
  </sheetViews>
  <sheetFormatPr defaultColWidth="10.28515625" defaultRowHeight="15.75" outlineLevelRow="1" x14ac:dyDescent="0.25"/>
  <cols>
    <col min="1" max="1" width="6.28515625" style="1" customWidth="1"/>
    <col min="2" max="2" width="93.42578125" style="2" customWidth="1"/>
    <col min="3" max="3" width="75.42578125" style="2" customWidth="1"/>
    <col min="4" max="4" width="17" style="2" customWidth="1"/>
    <col min="5" max="5" width="18.28515625" style="2" customWidth="1"/>
    <col min="6" max="6" width="7.85546875" style="2" hidden="1" customWidth="1"/>
    <col min="7" max="7" width="7" style="2" hidden="1" customWidth="1"/>
    <col min="8" max="8" width="0" style="2" hidden="1" customWidth="1"/>
    <col min="9" max="9" width="13" style="2" bestFit="1" customWidth="1"/>
    <col min="10" max="10" width="10.28515625" style="2" customWidth="1"/>
    <col min="11" max="11" width="13" style="105" customWidth="1"/>
    <col min="12" max="16384" width="10.28515625" style="2"/>
  </cols>
  <sheetData>
    <row r="1" spans="1:13" ht="92.25" customHeight="1" x14ac:dyDescent="0.25">
      <c r="D1" s="199" t="s">
        <v>118</v>
      </c>
      <c r="E1" s="199"/>
      <c r="F1" s="200"/>
    </row>
    <row r="2" spans="1:13" ht="34.5" customHeight="1" x14ac:dyDescent="0.25">
      <c r="B2" s="201" t="s">
        <v>119</v>
      </c>
      <c r="C2" s="201"/>
      <c r="D2" s="201"/>
      <c r="E2" s="201"/>
    </row>
    <row r="3" spans="1:13" ht="19.5" customHeight="1" x14ac:dyDescent="0.25">
      <c r="A3" s="3"/>
      <c r="B3" s="4" t="s">
        <v>0</v>
      </c>
      <c r="C3" s="202" t="s">
        <v>98</v>
      </c>
      <c r="D3" s="203"/>
      <c r="E3" s="203"/>
      <c r="I3" s="5"/>
    </row>
    <row r="4" spans="1:13" ht="51.75" hidden="1" customHeight="1" x14ac:dyDescent="0.25">
      <c r="A4" s="3"/>
      <c r="B4" s="4" t="s">
        <v>1</v>
      </c>
      <c r="C4" s="204" t="s">
        <v>2</v>
      </c>
      <c r="D4" s="203"/>
      <c r="E4" s="203"/>
    </row>
    <row r="5" spans="1:13" ht="21" customHeight="1" x14ac:dyDescent="0.25">
      <c r="A5" s="3"/>
      <c r="B5" s="6" t="s">
        <v>3</v>
      </c>
      <c r="C5" s="205" t="s">
        <v>4</v>
      </c>
      <c r="D5" s="206">
        <f>SUM(D7:E8)</f>
        <v>11690.1</v>
      </c>
      <c r="E5" s="207"/>
      <c r="I5" s="5"/>
    </row>
    <row r="6" spans="1:13" ht="14.25" hidden="1" customHeight="1" x14ac:dyDescent="0.25">
      <c r="A6" s="3"/>
      <c r="B6" s="6" t="s">
        <v>5</v>
      </c>
      <c r="C6" s="205"/>
      <c r="D6" s="204">
        <v>3048.1</v>
      </c>
      <c r="E6" s="207"/>
    </row>
    <row r="7" spans="1:13" x14ac:dyDescent="0.25">
      <c r="A7" s="3"/>
      <c r="B7" s="6" t="s">
        <v>6</v>
      </c>
      <c r="C7" s="205"/>
      <c r="D7" s="206">
        <v>11637.9</v>
      </c>
      <c r="E7" s="206"/>
    </row>
    <row r="8" spans="1:13" x14ac:dyDescent="0.25">
      <c r="A8" s="3"/>
      <c r="B8" s="6" t="s">
        <v>7</v>
      </c>
      <c r="C8" s="205"/>
      <c r="D8" s="206">
        <v>52.2</v>
      </c>
      <c r="E8" s="208"/>
    </row>
    <row r="9" spans="1:13" ht="54" customHeight="1" x14ac:dyDescent="0.25">
      <c r="A9" s="3"/>
      <c r="B9" s="7" t="s">
        <v>8</v>
      </c>
      <c r="C9" s="205"/>
      <c r="D9" s="6" t="s">
        <v>9</v>
      </c>
      <c r="E9" s="8" t="s">
        <v>10</v>
      </c>
    </row>
    <row r="10" spans="1:13" ht="181.5" customHeight="1" x14ac:dyDescent="0.25">
      <c r="A10" s="3">
        <v>1</v>
      </c>
      <c r="B10" s="9" t="s">
        <v>11</v>
      </c>
      <c r="C10" s="10" t="s">
        <v>131</v>
      </c>
      <c r="D10" s="11">
        <f>E10*12*D5</f>
        <v>1123652.4099999999</v>
      </c>
      <c r="E10" s="11">
        <v>8.01</v>
      </c>
      <c r="F10" s="12">
        <f>E10*12*2602.7</f>
        <v>250171.51999999999</v>
      </c>
      <c r="G10" s="12">
        <f>D10-F10</f>
        <v>873480.89</v>
      </c>
      <c r="J10" s="12">
        <v>8.01</v>
      </c>
    </row>
    <row r="11" spans="1:13" ht="33.75" customHeight="1" x14ac:dyDescent="0.25">
      <c r="A11" s="3">
        <v>2</v>
      </c>
      <c r="B11" s="9" t="s">
        <v>12</v>
      </c>
      <c r="C11" s="13" t="s">
        <v>13</v>
      </c>
      <c r="D11" s="11">
        <f>E11*D5*12</f>
        <v>119239.02</v>
      </c>
      <c r="E11" s="11">
        <v>0.85</v>
      </c>
      <c r="F11" s="12">
        <f>E11*12*2602.7</f>
        <v>26547.54</v>
      </c>
      <c r="G11" s="12">
        <f>D11-F11</f>
        <v>92691.48</v>
      </c>
      <c r="J11" s="12">
        <v>0.85</v>
      </c>
    </row>
    <row r="12" spans="1:13" ht="29.25" customHeight="1" x14ac:dyDescent="0.25">
      <c r="A12" s="3">
        <v>3</v>
      </c>
      <c r="B12" s="9" t="s">
        <v>14</v>
      </c>
      <c r="C12" s="9"/>
      <c r="D12" s="14">
        <f>E12*D5*12</f>
        <v>356314.25</v>
      </c>
      <c r="E12" s="14">
        <v>2.54</v>
      </c>
      <c r="F12" s="12">
        <f>E12*12*2602.7</f>
        <v>79330.3</v>
      </c>
      <c r="G12" s="12">
        <f>D12-F12</f>
        <v>276983.95</v>
      </c>
      <c r="J12" s="12">
        <v>2.54</v>
      </c>
      <c r="L12" s="15"/>
      <c r="M12" s="15"/>
    </row>
    <row r="13" spans="1:13" s="69" customFormat="1" x14ac:dyDescent="0.25">
      <c r="A13" s="70" t="s">
        <v>15</v>
      </c>
      <c r="B13" s="71" t="s">
        <v>16</v>
      </c>
      <c r="C13" s="60" t="s">
        <v>17</v>
      </c>
      <c r="D13" s="72">
        <f t="shared" ref="D13:D18" si="0">E13*12*$D$5</f>
        <v>127655.89</v>
      </c>
      <c r="E13" s="72">
        <f t="shared" ref="E13:E18" si="1">$E$12*I13</f>
        <v>0.91</v>
      </c>
      <c r="I13" s="73">
        <v>0.35909999999999997</v>
      </c>
    </row>
    <row r="14" spans="1:13" s="69" customFormat="1" x14ac:dyDescent="0.25">
      <c r="A14" s="70" t="s">
        <v>18</v>
      </c>
      <c r="B14" s="71" t="s">
        <v>19</v>
      </c>
      <c r="C14" s="60" t="s">
        <v>20</v>
      </c>
      <c r="D14" s="72">
        <f t="shared" si="0"/>
        <v>89779.97</v>
      </c>
      <c r="E14" s="72">
        <f t="shared" si="1"/>
        <v>0.64</v>
      </c>
      <c r="I14" s="73">
        <v>0.25180000000000002</v>
      </c>
    </row>
    <row r="15" spans="1:13" s="69" customFormat="1" x14ac:dyDescent="0.25">
      <c r="A15" s="74" t="s">
        <v>21</v>
      </c>
      <c r="B15" s="71" t="s">
        <v>22</v>
      </c>
      <c r="C15" s="60" t="s">
        <v>17</v>
      </c>
      <c r="D15" s="72">
        <f t="shared" si="0"/>
        <v>11222.5</v>
      </c>
      <c r="E15" s="72">
        <f t="shared" si="1"/>
        <v>0.08</v>
      </c>
      <c r="I15" s="73">
        <v>0.03</v>
      </c>
    </row>
    <row r="16" spans="1:13" s="69" customFormat="1" x14ac:dyDescent="0.25">
      <c r="A16" s="70" t="s">
        <v>23</v>
      </c>
      <c r="B16" s="71" t="s">
        <v>24</v>
      </c>
      <c r="C16" s="60" t="s">
        <v>25</v>
      </c>
      <c r="D16" s="72">
        <f t="shared" si="0"/>
        <v>71543.41</v>
      </c>
      <c r="E16" s="72">
        <f t="shared" si="1"/>
        <v>0.51</v>
      </c>
      <c r="I16" s="73">
        <f>0.2314-0.0298</f>
        <v>0.2016</v>
      </c>
    </row>
    <row r="17" spans="1:13" s="69" customFormat="1" x14ac:dyDescent="0.25">
      <c r="A17" s="70" t="s">
        <v>26</v>
      </c>
      <c r="B17" s="71" t="s">
        <v>27</v>
      </c>
      <c r="C17" s="60" t="s">
        <v>17</v>
      </c>
      <c r="D17" s="72">
        <f t="shared" si="0"/>
        <v>2805.62</v>
      </c>
      <c r="E17" s="72">
        <f t="shared" si="1"/>
        <v>0.02</v>
      </c>
      <c r="I17" s="73">
        <v>6.8999999999999999E-3</v>
      </c>
    </row>
    <row r="18" spans="1:13" s="69" customFormat="1" ht="47.25" x14ac:dyDescent="0.25">
      <c r="A18" s="70" t="s">
        <v>28</v>
      </c>
      <c r="B18" s="71" t="s">
        <v>29</v>
      </c>
      <c r="C18" s="60" t="s">
        <v>30</v>
      </c>
      <c r="D18" s="72">
        <f t="shared" si="0"/>
        <v>50501.23</v>
      </c>
      <c r="E18" s="72">
        <f t="shared" si="1"/>
        <v>0.36</v>
      </c>
      <c r="I18" s="73">
        <v>0.14369999999999999</v>
      </c>
    </row>
    <row r="19" spans="1:13" s="15" customFormat="1" ht="25.5" customHeight="1" x14ac:dyDescent="0.25">
      <c r="A19" s="16" t="s">
        <v>31</v>
      </c>
      <c r="B19" s="17" t="s">
        <v>32</v>
      </c>
      <c r="C19" s="18" t="s">
        <v>33</v>
      </c>
      <c r="D19" s="19">
        <f>E19*12*$D$5</f>
        <v>2805.62</v>
      </c>
      <c r="E19" s="19">
        <f>$E$12*I19</f>
        <v>0.02</v>
      </c>
      <c r="I19" s="20">
        <v>6.8999999999999999E-3</v>
      </c>
      <c r="K19" s="105"/>
    </row>
    <row r="20" spans="1:13" ht="31.5" customHeight="1" x14ac:dyDescent="0.25">
      <c r="A20" s="3">
        <v>4</v>
      </c>
      <c r="B20" s="9" t="s">
        <v>34</v>
      </c>
      <c r="C20" s="9"/>
      <c r="D20" s="14">
        <f>D21+D26</f>
        <v>447497.02</v>
      </c>
      <c r="E20" s="14">
        <v>3.19</v>
      </c>
      <c r="F20" s="12" t="s">
        <v>35</v>
      </c>
      <c r="G20" s="12"/>
      <c r="I20" s="22">
        <f>D20/12/D5</f>
        <v>3.19</v>
      </c>
      <c r="J20" s="12">
        <v>3.19</v>
      </c>
      <c r="M20" s="15"/>
    </row>
    <row r="21" spans="1:13" s="69" customFormat="1" x14ac:dyDescent="0.25">
      <c r="A21" s="70"/>
      <c r="B21" s="76" t="s">
        <v>36</v>
      </c>
      <c r="C21" s="60"/>
      <c r="D21" s="77">
        <f>SUM(D22:D25)</f>
        <v>180962.74</v>
      </c>
      <c r="E21" s="77">
        <f>E20*I21</f>
        <v>2.59</v>
      </c>
      <c r="F21" s="78">
        <f>E21/E20</f>
        <v>0.81</v>
      </c>
      <c r="G21" s="79">
        <v>5.72</v>
      </c>
      <c r="I21" s="80">
        <v>0.81140000000000001</v>
      </c>
    </row>
    <row r="22" spans="1:13" s="69" customFormat="1" ht="31.5" x14ac:dyDescent="0.25">
      <c r="A22" s="74" t="s">
        <v>37</v>
      </c>
      <c r="B22" s="81" t="s">
        <v>38</v>
      </c>
      <c r="C22" s="60" t="s">
        <v>39</v>
      </c>
      <c r="D22" s="72">
        <f>E22*6*$D$5</f>
        <v>79960.28</v>
      </c>
      <c r="E22" s="72">
        <f>$E$21*I22</f>
        <v>1.1399999999999999</v>
      </c>
      <c r="F22" s="78">
        <f t="shared" ref="F22:F32" si="2">E22/G22</f>
        <v>0.32</v>
      </c>
      <c r="G22" s="79">
        <v>3.55</v>
      </c>
      <c r="H22" s="69">
        <v>0.44</v>
      </c>
      <c r="I22" s="73">
        <v>0.442</v>
      </c>
    </row>
    <row r="23" spans="1:13" s="69" customFormat="1" x14ac:dyDescent="0.25">
      <c r="A23" s="70" t="s">
        <v>40</v>
      </c>
      <c r="B23" s="81" t="s">
        <v>41</v>
      </c>
      <c r="C23" s="60" t="s">
        <v>42</v>
      </c>
      <c r="D23" s="72">
        <f>E23*6*$D$5</f>
        <v>23847.8</v>
      </c>
      <c r="E23" s="72">
        <f>$E$21*I23</f>
        <v>0.34</v>
      </c>
      <c r="F23" s="78">
        <f t="shared" si="2"/>
        <v>0.1</v>
      </c>
      <c r="G23" s="79">
        <v>3.55</v>
      </c>
      <c r="H23" s="69">
        <v>8.7999999999999995E-2</v>
      </c>
      <c r="I23" s="73">
        <v>0.13</v>
      </c>
    </row>
    <row r="24" spans="1:13" s="69" customFormat="1" x14ac:dyDescent="0.25">
      <c r="A24" s="70" t="s">
        <v>43</v>
      </c>
      <c r="B24" s="81" t="s">
        <v>44</v>
      </c>
      <c r="C24" s="60" t="s">
        <v>45</v>
      </c>
      <c r="D24" s="72">
        <f>E24*6*$D$5</f>
        <v>45591.39</v>
      </c>
      <c r="E24" s="72">
        <f>$E$21*I24</f>
        <v>0.65</v>
      </c>
      <c r="F24" s="78">
        <f t="shared" si="2"/>
        <v>0.18</v>
      </c>
      <c r="G24" s="79">
        <v>3.55</v>
      </c>
      <c r="H24" s="69">
        <v>0.46010000000000001</v>
      </c>
      <c r="I24" s="73">
        <v>0.25</v>
      </c>
    </row>
    <row r="25" spans="1:13" s="69" customFormat="1" x14ac:dyDescent="0.25">
      <c r="A25" s="70" t="s">
        <v>46</v>
      </c>
      <c r="B25" s="81" t="s">
        <v>47</v>
      </c>
      <c r="C25" s="60" t="s">
        <v>48</v>
      </c>
      <c r="D25" s="72">
        <f>E25*6*$D$5</f>
        <v>31563.27</v>
      </c>
      <c r="E25" s="72">
        <f>$E$21*I25</f>
        <v>0.45</v>
      </c>
      <c r="F25" s="78">
        <f t="shared" si="2"/>
        <v>0.13</v>
      </c>
      <c r="G25" s="79">
        <v>3.55</v>
      </c>
      <c r="H25" s="69">
        <v>8.0000000000000004E-4</v>
      </c>
      <c r="I25" s="73">
        <v>0.17199999999999999</v>
      </c>
    </row>
    <row r="26" spans="1:13" s="69" customFormat="1" x14ac:dyDescent="0.25">
      <c r="A26" s="70"/>
      <c r="B26" s="76" t="s">
        <v>49</v>
      </c>
      <c r="C26" s="60"/>
      <c r="D26" s="77">
        <f>SUM(D27:D32)</f>
        <v>266534.28000000003</v>
      </c>
      <c r="E26" s="77">
        <f>I26*E20</f>
        <v>3.79</v>
      </c>
      <c r="F26" s="82">
        <f t="shared" si="2"/>
        <v>0.66258741258741305</v>
      </c>
      <c r="G26" s="79">
        <v>5.72</v>
      </c>
      <c r="I26" s="80">
        <f>2-I21</f>
        <v>1.1886000000000001</v>
      </c>
      <c r="J26" s="83"/>
    </row>
    <row r="27" spans="1:13" s="69" customFormat="1" x14ac:dyDescent="0.25">
      <c r="A27" s="70" t="s">
        <v>50</v>
      </c>
      <c r="B27" s="71" t="s">
        <v>51</v>
      </c>
      <c r="C27" s="60" t="s">
        <v>52</v>
      </c>
      <c r="D27" s="72">
        <f t="shared" ref="D27:D32" si="3">E27*6*$D$5</f>
        <v>129760.11</v>
      </c>
      <c r="E27" s="72">
        <f t="shared" ref="E27:E32" si="4">$E$26*I27</f>
        <v>1.85</v>
      </c>
      <c r="F27" s="78">
        <f t="shared" si="2"/>
        <v>0.23</v>
      </c>
      <c r="G27" s="79">
        <v>7.89</v>
      </c>
      <c r="H27" s="69">
        <v>0.45450000000000002</v>
      </c>
      <c r="I27" s="20">
        <v>0.48799999999999999</v>
      </c>
    </row>
    <row r="28" spans="1:13" s="69" customFormat="1" x14ac:dyDescent="0.25">
      <c r="A28" s="70" t="s">
        <v>53</v>
      </c>
      <c r="B28" s="71" t="s">
        <v>54</v>
      </c>
      <c r="C28" s="60" t="s">
        <v>55</v>
      </c>
      <c r="D28" s="72">
        <f t="shared" si="3"/>
        <v>56112.480000000003</v>
      </c>
      <c r="E28" s="72">
        <f t="shared" si="4"/>
        <v>0.8</v>
      </c>
      <c r="F28" s="78">
        <f t="shared" si="2"/>
        <v>0.1</v>
      </c>
      <c r="G28" s="79">
        <v>7.89</v>
      </c>
      <c r="H28" s="69">
        <v>0.4632</v>
      </c>
      <c r="I28" s="20">
        <v>0.21</v>
      </c>
      <c r="L28" s="56"/>
      <c r="M28" s="56"/>
    </row>
    <row r="29" spans="1:13" s="69" customFormat="1" x14ac:dyDescent="0.25">
      <c r="A29" s="74" t="s">
        <v>56</v>
      </c>
      <c r="B29" s="71" t="s">
        <v>57</v>
      </c>
      <c r="C29" s="60" t="s">
        <v>58</v>
      </c>
      <c r="D29" s="72">
        <f t="shared" si="3"/>
        <v>21042.18</v>
      </c>
      <c r="E29" s="72">
        <f t="shared" si="4"/>
        <v>0.3</v>
      </c>
      <c r="F29" s="78">
        <f t="shared" si="2"/>
        <v>0.04</v>
      </c>
      <c r="G29" s="79">
        <v>7.89</v>
      </c>
      <c r="H29" s="69">
        <v>1.29E-2</v>
      </c>
      <c r="I29" s="20">
        <v>0.08</v>
      </c>
    </row>
    <row r="30" spans="1:13" s="69" customFormat="1" x14ac:dyDescent="0.25">
      <c r="A30" s="70" t="s">
        <v>59</v>
      </c>
      <c r="B30" s="71" t="s">
        <v>60</v>
      </c>
      <c r="C30" s="60" t="s">
        <v>61</v>
      </c>
      <c r="D30" s="72">
        <f t="shared" si="3"/>
        <v>13326.71</v>
      </c>
      <c r="E30" s="72">
        <f t="shared" si="4"/>
        <v>0.19</v>
      </c>
      <c r="F30" s="78">
        <f t="shared" si="2"/>
        <v>0.02</v>
      </c>
      <c r="G30" s="79">
        <v>7.89</v>
      </c>
      <c r="H30" s="69">
        <v>4.7600000000000003E-2</v>
      </c>
      <c r="I30" s="20">
        <v>0.05</v>
      </c>
    </row>
    <row r="31" spans="1:13" s="69" customFormat="1" x14ac:dyDescent="0.25">
      <c r="A31" s="70" t="s">
        <v>62</v>
      </c>
      <c r="B31" s="71" t="s">
        <v>63</v>
      </c>
      <c r="C31" s="60" t="s">
        <v>64</v>
      </c>
      <c r="D31" s="72">
        <f t="shared" si="3"/>
        <v>4208.4399999999996</v>
      </c>
      <c r="E31" s="72">
        <f t="shared" si="4"/>
        <v>0.06</v>
      </c>
      <c r="F31" s="78">
        <f t="shared" si="2"/>
        <v>0.01</v>
      </c>
      <c r="G31" s="79">
        <v>7.89</v>
      </c>
      <c r="H31" s="69">
        <v>4.3E-3</v>
      </c>
      <c r="I31" s="20">
        <v>1.4999999999999999E-2</v>
      </c>
    </row>
    <row r="32" spans="1:13" s="69" customFormat="1" x14ac:dyDescent="0.25">
      <c r="A32" s="70" t="s">
        <v>65</v>
      </c>
      <c r="B32" s="71" t="s">
        <v>66</v>
      </c>
      <c r="C32" s="60" t="s">
        <v>67</v>
      </c>
      <c r="D32" s="72">
        <f t="shared" si="3"/>
        <v>42084.36</v>
      </c>
      <c r="E32" s="72">
        <f t="shared" si="4"/>
        <v>0.6</v>
      </c>
      <c r="F32" s="78">
        <f t="shared" si="2"/>
        <v>0.08</v>
      </c>
      <c r="G32" s="79">
        <v>7.89</v>
      </c>
      <c r="H32" s="69">
        <f>1-H27-H28-H29-H30-H31</f>
        <v>1.7500000000000002E-2</v>
      </c>
      <c r="I32" s="20">
        <v>0.158</v>
      </c>
    </row>
    <row r="33" spans="1:13" s="15" customFormat="1" x14ac:dyDescent="0.25">
      <c r="A33" s="16">
        <v>5</v>
      </c>
      <c r="B33" s="154" t="s">
        <v>117</v>
      </c>
      <c r="C33" s="13" t="s">
        <v>17</v>
      </c>
      <c r="D33" s="156">
        <f>E33*12*$D$5</f>
        <v>16833.740000000002</v>
      </c>
      <c r="E33" s="155">
        <v>0.12</v>
      </c>
      <c r="F33" s="151"/>
      <c r="G33" s="152"/>
      <c r="I33" s="20"/>
      <c r="J33" s="148">
        <f>0.11</f>
        <v>0.11</v>
      </c>
      <c r="K33" s="148">
        <f t="shared" ref="K33" si="5">J33-D33</f>
        <v>-16833.63</v>
      </c>
    </row>
    <row r="34" spans="1:13" ht="63.75" customHeight="1" x14ac:dyDescent="0.25">
      <c r="A34" s="3">
        <v>6</v>
      </c>
      <c r="B34" s="31" t="s">
        <v>113</v>
      </c>
      <c r="C34" s="13" t="s">
        <v>114</v>
      </c>
      <c r="D34" s="14">
        <v>8148.96</v>
      </c>
      <c r="E34" s="14">
        <f>D34/12/D5</f>
        <v>0.06</v>
      </c>
      <c r="F34" s="12">
        <f>E34*12*2602.7</f>
        <v>1873.94</v>
      </c>
      <c r="G34" s="12">
        <f>D34-F34</f>
        <v>6275.02</v>
      </c>
      <c r="J34" s="12">
        <v>0.06</v>
      </c>
      <c r="M34" s="15"/>
    </row>
    <row r="35" spans="1:13" ht="14.25" customHeight="1" x14ac:dyDescent="0.25">
      <c r="A35" s="32">
        <v>7</v>
      </c>
      <c r="B35" s="31" t="s">
        <v>68</v>
      </c>
      <c r="C35" s="33"/>
      <c r="D35" s="14">
        <f>SUM(D36:D37)</f>
        <v>178157.13</v>
      </c>
      <c r="E35" s="14">
        <v>1.27</v>
      </c>
      <c r="J35" s="12">
        <v>1.27</v>
      </c>
    </row>
    <row r="36" spans="1:13" ht="37.5" customHeight="1" x14ac:dyDescent="0.25">
      <c r="A36" s="16" t="s">
        <v>115</v>
      </c>
      <c r="B36" s="34" t="s">
        <v>69</v>
      </c>
      <c r="C36" s="35" t="s">
        <v>17</v>
      </c>
      <c r="D36" s="36">
        <f>E36*12*$D$5</f>
        <v>131864.32999999999</v>
      </c>
      <c r="E36" s="36">
        <f>I36*$E$35</f>
        <v>0.94</v>
      </c>
      <c r="I36" s="37">
        <v>0.74180000000000001</v>
      </c>
    </row>
    <row r="37" spans="1:13" ht="18.75" customHeight="1" x14ac:dyDescent="0.25">
      <c r="A37" s="21" t="s">
        <v>116</v>
      </c>
      <c r="B37" s="38" t="s">
        <v>70</v>
      </c>
      <c r="C37" s="35" t="s">
        <v>64</v>
      </c>
      <c r="D37" s="36">
        <f>E37*12*$D$5</f>
        <v>46292.800000000003</v>
      </c>
      <c r="E37" s="36">
        <f>I37*$E$35</f>
        <v>0.33</v>
      </c>
      <c r="I37" s="37">
        <v>0.25819999999999999</v>
      </c>
    </row>
    <row r="38" spans="1:13" ht="30" customHeight="1" x14ac:dyDescent="0.25">
      <c r="A38" s="32">
        <v>8</v>
      </c>
      <c r="B38" s="31" t="s">
        <v>91</v>
      </c>
      <c r="C38" s="13" t="s">
        <v>85</v>
      </c>
      <c r="D38" s="11">
        <f>5273.6*6*12</f>
        <v>379699.20000000001</v>
      </c>
      <c r="E38" s="11">
        <f>D38/12/D5</f>
        <v>2.71</v>
      </c>
      <c r="I38" s="2">
        <v>380386.44</v>
      </c>
      <c r="J38" s="12">
        <v>2.71</v>
      </c>
    </row>
    <row r="39" spans="1:13" ht="18.75" customHeight="1" x14ac:dyDescent="0.25">
      <c r="A39" s="32">
        <v>9</v>
      </c>
      <c r="B39" s="31" t="s">
        <v>84</v>
      </c>
      <c r="C39" s="13"/>
      <c r="D39" s="11">
        <v>29400</v>
      </c>
      <c r="E39" s="11">
        <f>D39/12/D5</f>
        <v>0.21</v>
      </c>
      <c r="J39" s="12">
        <v>0.21</v>
      </c>
    </row>
    <row r="40" spans="1:13" ht="21" customHeight="1" x14ac:dyDescent="0.25">
      <c r="A40" s="32">
        <v>10</v>
      </c>
      <c r="B40" s="31" t="s">
        <v>129</v>
      </c>
      <c r="C40" s="13" t="s">
        <v>17</v>
      </c>
      <c r="D40" s="11">
        <f>E40*12*D5</f>
        <v>371745.18</v>
      </c>
      <c r="E40" s="11">
        <f>1.03+1.62</f>
        <v>2.65</v>
      </c>
      <c r="J40" s="12">
        <v>0</v>
      </c>
    </row>
    <row r="41" spans="1:13" x14ac:dyDescent="0.25">
      <c r="A41" s="32">
        <v>11</v>
      </c>
      <c r="B41" s="39" t="s">
        <v>72</v>
      </c>
      <c r="C41" s="33"/>
      <c r="D41" s="14">
        <f>E41*12*D5</f>
        <v>3031476.73</v>
      </c>
      <c r="E41" s="14">
        <f>SUM(E38:E40,E33:E35,E20,E10:E12)</f>
        <v>21.61</v>
      </c>
      <c r="F41" s="14">
        <f t="shared" ref="F41:J41" si="6">SUM(F38:F40,F33:F35,F20,F10:F12)</f>
        <v>357923.3</v>
      </c>
      <c r="G41" s="14">
        <f t="shared" si="6"/>
        <v>1249431.3400000001</v>
      </c>
      <c r="H41" s="14">
        <f t="shared" si="6"/>
        <v>0</v>
      </c>
      <c r="I41" s="14">
        <f t="shared" si="6"/>
        <v>380389.63</v>
      </c>
      <c r="J41" s="14">
        <f t="shared" si="6"/>
        <v>18.95</v>
      </c>
    </row>
    <row r="42" spans="1:13" ht="135.75" customHeight="1" x14ac:dyDescent="0.25">
      <c r="A42" s="32">
        <v>12</v>
      </c>
      <c r="B42" s="41" t="s">
        <v>126</v>
      </c>
      <c r="C42" s="53" t="s">
        <v>74</v>
      </c>
      <c r="D42" s="14">
        <f>E42*12*D5</f>
        <v>454511.09</v>
      </c>
      <c r="E42" s="14">
        <f>E41*0.15</f>
        <v>3.24</v>
      </c>
      <c r="F42" s="12">
        <f>E42*12*2602.7</f>
        <v>101192.98</v>
      </c>
      <c r="G42" s="12">
        <f>D42-F42</f>
        <v>353318.11</v>
      </c>
      <c r="H42" s="2">
        <f>E42*12*2602.7</f>
        <v>101192.976</v>
      </c>
      <c r="I42" s="2">
        <v>18.829999999999998</v>
      </c>
      <c r="J42" s="12">
        <f>J41*0.15</f>
        <v>2.84</v>
      </c>
    </row>
    <row r="43" spans="1:13" x14ac:dyDescent="0.25">
      <c r="A43" s="32">
        <v>13</v>
      </c>
      <c r="B43" s="42" t="s">
        <v>75</v>
      </c>
      <c r="C43" s="43"/>
      <c r="D43" s="44">
        <f>D41+D42</f>
        <v>3485987.82</v>
      </c>
      <c r="E43" s="44">
        <f>SUM(E41:E42)</f>
        <v>24.85</v>
      </c>
      <c r="G43" s="12"/>
      <c r="I43" s="12"/>
      <c r="J43" s="12">
        <f>J41+J42</f>
        <v>21.79</v>
      </c>
      <c r="K43" s="105">
        <f>J43/E43</f>
        <v>0.88</v>
      </c>
    </row>
    <row r="44" spans="1:13" x14ac:dyDescent="0.25">
      <c r="A44" s="196">
        <v>14</v>
      </c>
      <c r="B44" s="110" t="s">
        <v>76</v>
      </c>
      <c r="C44" s="43"/>
      <c r="D44" s="44">
        <f>SUM(D45:D46)</f>
        <v>552941.73</v>
      </c>
      <c r="E44" s="44">
        <f>SUM(E45:E46)</f>
        <v>4.3</v>
      </c>
      <c r="G44" s="12"/>
      <c r="I44" s="12"/>
      <c r="J44" s="12"/>
    </row>
    <row r="45" spans="1:13" outlineLevel="1" x14ac:dyDescent="0.25">
      <c r="A45" s="197"/>
      <c r="B45" s="29"/>
      <c r="C45" s="111" t="s">
        <v>132</v>
      </c>
      <c r="D45" s="19">
        <f>162024.79/1.1</f>
        <v>147295.26</v>
      </c>
      <c r="E45" s="19">
        <f>D45/$D$5/11</f>
        <v>1.1499999999999999</v>
      </c>
      <c r="G45" s="12"/>
      <c r="I45" s="12"/>
      <c r="J45" s="12"/>
      <c r="K45" s="19"/>
    </row>
    <row r="46" spans="1:13" outlineLevel="1" x14ac:dyDescent="0.25">
      <c r="A46" s="198"/>
      <c r="B46" s="29"/>
      <c r="C46" s="111" t="s">
        <v>133</v>
      </c>
      <c r="D46" s="19">
        <f>446211.12/1.1</f>
        <v>405646.47</v>
      </c>
      <c r="E46" s="19">
        <f>D46/$D$5/11</f>
        <v>3.15</v>
      </c>
      <c r="G46" s="12"/>
      <c r="I46" s="12"/>
      <c r="J46" s="12"/>
      <c r="K46" s="122"/>
    </row>
    <row r="47" spans="1:13" ht="126" x14ac:dyDescent="0.25">
      <c r="A47" s="32">
        <v>15</v>
      </c>
      <c r="B47" s="112" t="s">
        <v>73</v>
      </c>
      <c r="C47" s="113" t="s">
        <v>94</v>
      </c>
      <c r="D47" s="114">
        <f>D44*0.1</f>
        <v>55294.17</v>
      </c>
      <c r="E47" s="114">
        <f>E44*0.1</f>
        <v>0.43</v>
      </c>
      <c r="G47" s="12"/>
      <c r="I47" s="12"/>
      <c r="J47" s="12"/>
    </row>
    <row r="48" spans="1:13" x14ac:dyDescent="0.25">
      <c r="A48" s="32">
        <v>16</v>
      </c>
      <c r="B48" s="42" t="s">
        <v>95</v>
      </c>
      <c r="C48" s="113"/>
      <c r="D48" s="44">
        <f>SUM(D44,D47)</f>
        <v>608235.9</v>
      </c>
      <c r="E48" s="44">
        <f>SUM(E44,E47)</f>
        <v>4.7300000000000004</v>
      </c>
      <c r="G48" s="12"/>
      <c r="I48" s="12"/>
      <c r="J48" s="12"/>
    </row>
    <row r="49" spans="1:11" x14ac:dyDescent="0.25">
      <c r="A49" s="32">
        <v>17</v>
      </c>
      <c r="B49" s="42" t="s">
        <v>79</v>
      </c>
      <c r="C49" s="43"/>
      <c r="D49" s="44">
        <f>SUM(D43,D48)</f>
        <v>4094223.72</v>
      </c>
      <c r="E49" s="44">
        <f>SUM(E43,E48)</f>
        <v>29.58</v>
      </c>
      <c r="I49" s="12"/>
    </row>
    <row r="50" spans="1:11" x14ac:dyDescent="0.25">
      <c r="D50" s="51"/>
      <c r="E50" s="51"/>
      <c r="J50" s="12" t="e">
        <f>SUM(#REF!)</f>
        <v>#REF!</v>
      </c>
    </row>
    <row r="51" spans="1:11" x14ac:dyDescent="0.25">
      <c r="E51" s="105"/>
      <c r="J51" s="12" t="e">
        <f>J50+J43</f>
        <v>#REF!</v>
      </c>
    </row>
    <row r="52" spans="1:11" x14ac:dyDescent="0.25">
      <c r="B52" s="52" t="s">
        <v>80</v>
      </c>
      <c r="C52" s="51" t="s">
        <v>81</v>
      </c>
      <c r="E52" s="105"/>
      <c r="J52" s="2" t="e">
        <f>J51/E52</f>
        <v>#REF!</v>
      </c>
      <c r="K52" s="105">
        <f>23.65</f>
        <v>23.65</v>
      </c>
    </row>
    <row r="53" spans="1:11" x14ac:dyDescent="0.25">
      <c r="B53" s="52"/>
      <c r="C53" s="52"/>
      <c r="K53" s="105" t="e">
        <f>J51/K52</f>
        <v>#REF!</v>
      </c>
    </row>
    <row r="54" spans="1:11" x14ac:dyDescent="0.25">
      <c r="B54" s="52" t="s">
        <v>82</v>
      </c>
      <c r="C54" s="51" t="s">
        <v>83</v>
      </c>
    </row>
  </sheetData>
  <mergeCells count="10">
    <mergeCell ref="A44:A46"/>
    <mergeCell ref="D1:F1"/>
    <mergeCell ref="B2:E2"/>
    <mergeCell ref="C3:E3"/>
    <mergeCell ref="C4:E4"/>
    <mergeCell ref="C5:C9"/>
    <mergeCell ref="D5:E5"/>
    <mergeCell ref="D6:E6"/>
    <mergeCell ref="D7:E7"/>
    <mergeCell ref="D8:E8"/>
  </mergeCells>
  <phoneticPr fontId="7" type="noConversion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zoomScale="60" zoomScaleNormal="78" workbookViewId="0">
      <pane xSplit="2" ySplit="9" topLeftCell="C39" activePane="bottomRight" state="frozen"/>
      <selection pane="topRight" activeCell="C1" sqref="C1"/>
      <selection pane="bottomLeft" activeCell="A10" sqref="A10"/>
      <selection pane="bottomRight" activeCell="A50" sqref="A50:E50"/>
    </sheetView>
  </sheetViews>
  <sheetFormatPr defaultColWidth="10.28515625" defaultRowHeight="15.75" x14ac:dyDescent="0.25"/>
  <cols>
    <col min="1" max="1" width="6.85546875" style="55" customWidth="1"/>
    <col min="2" max="2" width="89.5703125" style="56" customWidth="1"/>
    <col min="3" max="3" width="75.42578125" style="56" customWidth="1"/>
    <col min="4" max="4" width="17" style="56" customWidth="1"/>
    <col min="5" max="5" width="15.42578125" style="56" customWidth="1"/>
    <col min="6" max="6" width="7.85546875" style="56" hidden="1" customWidth="1"/>
    <col min="7" max="7" width="7" style="56" hidden="1" customWidth="1"/>
    <col min="8" max="8" width="0" style="56" hidden="1" customWidth="1"/>
    <col min="9" max="9" width="10.5703125" style="56" bestFit="1" customWidth="1"/>
    <col min="10" max="10" width="10.28515625" style="56" customWidth="1"/>
    <col min="11" max="11" width="14.7109375" style="56" customWidth="1"/>
    <col min="12" max="16384" width="10.28515625" style="56"/>
  </cols>
  <sheetData>
    <row r="1" spans="1:13" ht="92.25" customHeight="1" x14ac:dyDescent="0.25">
      <c r="D1" s="199" t="s">
        <v>118</v>
      </c>
      <c r="E1" s="199"/>
      <c r="F1" s="200"/>
    </row>
    <row r="2" spans="1:13" ht="35.25" customHeight="1" x14ac:dyDescent="0.25">
      <c r="B2" s="209" t="s">
        <v>120</v>
      </c>
      <c r="C2" s="209"/>
      <c r="D2" s="209"/>
      <c r="E2" s="209"/>
    </row>
    <row r="3" spans="1:13" ht="19.5" customHeight="1" x14ac:dyDescent="0.25">
      <c r="A3" s="57"/>
      <c r="B3" s="58" t="s">
        <v>0</v>
      </c>
      <c r="C3" s="210" t="s">
        <v>89</v>
      </c>
      <c r="D3" s="211"/>
      <c r="E3" s="211"/>
      <c r="I3" s="59"/>
    </row>
    <row r="4" spans="1:13" ht="51.75" hidden="1" customHeight="1" x14ac:dyDescent="0.25">
      <c r="A4" s="57"/>
      <c r="B4" s="58" t="s">
        <v>1</v>
      </c>
      <c r="C4" s="212" t="s">
        <v>2</v>
      </c>
      <c r="D4" s="211"/>
      <c r="E4" s="211"/>
    </row>
    <row r="5" spans="1:13" ht="21" customHeight="1" x14ac:dyDescent="0.25">
      <c r="A5" s="57"/>
      <c r="B5" s="61" t="s">
        <v>3</v>
      </c>
      <c r="C5" s="213" t="s">
        <v>4</v>
      </c>
      <c r="D5" s="214">
        <f>SUM(D7:E8)</f>
        <v>11432</v>
      </c>
      <c r="E5" s="215"/>
      <c r="I5" s="59"/>
    </row>
    <row r="6" spans="1:13" ht="14.25" hidden="1" customHeight="1" x14ac:dyDescent="0.25">
      <c r="A6" s="57"/>
      <c r="B6" s="61" t="s">
        <v>5</v>
      </c>
      <c r="C6" s="213"/>
      <c r="D6" s="214">
        <v>3048.1</v>
      </c>
      <c r="E6" s="215"/>
    </row>
    <row r="7" spans="1:13" x14ac:dyDescent="0.25">
      <c r="A7" s="57"/>
      <c r="B7" s="61" t="s">
        <v>6</v>
      </c>
      <c r="C7" s="213"/>
      <c r="D7" s="214">
        <v>11382.3</v>
      </c>
      <c r="E7" s="214"/>
    </row>
    <row r="8" spans="1:13" x14ac:dyDescent="0.25">
      <c r="A8" s="57"/>
      <c r="B8" s="61" t="s">
        <v>7</v>
      </c>
      <c r="C8" s="213"/>
      <c r="D8" s="214">
        <v>49.7</v>
      </c>
      <c r="E8" s="215"/>
    </row>
    <row r="9" spans="1:13" ht="85.5" customHeight="1" x14ac:dyDescent="0.25">
      <c r="A9" s="57"/>
      <c r="B9" s="62" t="s">
        <v>8</v>
      </c>
      <c r="C9" s="213"/>
      <c r="D9" s="61" t="s">
        <v>9</v>
      </c>
      <c r="E9" s="63" t="s">
        <v>10</v>
      </c>
    </row>
    <row r="10" spans="1:13" ht="183.75" customHeight="1" x14ac:dyDescent="0.25">
      <c r="A10" s="57">
        <v>1</v>
      </c>
      <c r="B10" s="64" t="s">
        <v>11</v>
      </c>
      <c r="C10" s="10" t="s">
        <v>131</v>
      </c>
      <c r="D10" s="65">
        <f>E10*12*D5</f>
        <v>1068663.3600000001</v>
      </c>
      <c r="E10" s="65">
        <v>7.79</v>
      </c>
      <c r="F10" s="66">
        <f>E10*12*2602.7</f>
        <v>243300.4</v>
      </c>
      <c r="G10" s="66">
        <f>D10-F10</f>
        <v>825362.96</v>
      </c>
      <c r="J10" s="66"/>
    </row>
    <row r="11" spans="1:13" ht="33.75" customHeight="1" x14ac:dyDescent="0.25">
      <c r="A11" s="57">
        <v>2</v>
      </c>
      <c r="B11" s="64" t="s">
        <v>12</v>
      </c>
      <c r="C11" s="67" t="s">
        <v>13</v>
      </c>
      <c r="D11" s="65">
        <f>E11*D5*12</f>
        <v>116606.39999999999</v>
      </c>
      <c r="E11" s="65">
        <v>0.85</v>
      </c>
      <c r="F11" s="66">
        <f>E11*12*2602.7</f>
        <v>26547.54</v>
      </c>
      <c r="G11" s="66">
        <f>D11-F11</f>
        <v>90058.86</v>
      </c>
      <c r="J11" s="66"/>
    </row>
    <row r="12" spans="1:13" ht="29.25" customHeight="1" x14ac:dyDescent="0.25">
      <c r="A12" s="57">
        <v>3</v>
      </c>
      <c r="B12" s="64" t="s">
        <v>14</v>
      </c>
      <c r="C12" s="64"/>
      <c r="D12" s="68">
        <f>E12*D5*12</f>
        <v>371768.64</v>
      </c>
      <c r="E12" s="68">
        <v>2.71</v>
      </c>
      <c r="F12" s="66">
        <f>E12*12*2602.7</f>
        <v>84639.8</v>
      </c>
      <c r="G12" s="66">
        <f>D12-F12</f>
        <v>287128.84000000003</v>
      </c>
      <c r="I12" s="56">
        <f>D12/12/D5</f>
        <v>2.71</v>
      </c>
      <c r="J12" s="66"/>
      <c r="L12" s="69"/>
      <c r="M12" s="69"/>
    </row>
    <row r="13" spans="1:13" s="69" customFormat="1" x14ac:dyDescent="0.25">
      <c r="A13" s="70" t="s">
        <v>15</v>
      </c>
      <c r="B13" s="71" t="s">
        <v>16</v>
      </c>
      <c r="C13" s="60" t="s">
        <v>17</v>
      </c>
      <c r="D13" s="72">
        <f t="shared" ref="D13:D19" si="0">E13*12*$D$5</f>
        <v>133068.48000000001</v>
      </c>
      <c r="E13" s="72">
        <f t="shared" ref="E13:E19" si="1">$E$12*I13</f>
        <v>0.97</v>
      </c>
      <c r="I13" s="73">
        <v>0.35909999999999997</v>
      </c>
    </row>
    <row r="14" spans="1:13" s="69" customFormat="1" x14ac:dyDescent="0.25">
      <c r="A14" s="70" t="s">
        <v>18</v>
      </c>
      <c r="B14" s="71" t="s">
        <v>19</v>
      </c>
      <c r="C14" s="60" t="s">
        <v>20</v>
      </c>
      <c r="D14" s="72">
        <f t="shared" si="0"/>
        <v>93285.119999999995</v>
      </c>
      <c r="E14" s="72">
        <f t="shared" si="1"/>
        <v>0.68</v>
      </c>
      <c r="I14" s="73">
        <v>0.25180000000000002</v>
      </c>
    </row>
    <row r="15" spans="1:13" s="69" customFormat="1" x14ac:dyDescent="0.25">
      <c r="A15" s="74" t="s">
        <v>21</v>
      </c>
      <c r="B15" s="71" t="s">
        <v>22</v>
      </c>
      <c r="C15" s="60" t="s">
        <v>17</v>
      </c>
      <c r="D15" s="72">
        <f t="shared" si="0"/>
        <v>10974.72</v>
      </c>
      <c r="E15" s="72">
        <f t="shared" si="1"/>
        <v>0.08</v>
      </c>
      <c r="I15" s="73">
        <v>0.03</v>
      </c>
    </row>
    <row r="16" spans="1:13" s="69" customFormat="1" x14ac:dyDescent="0.25">
      <c r="A16" s="70" t="s">
        <v>23</v>
      </c>
      <c r="B16" s="71" t="s">
        <v>24</v>
      </c>
      <c r="C16" s="60" t="s">
        <v>25</v>
      </c>
      <c r="D16" s="72">
        <f t="shared" si="0"/>
        <v>75451.199999999997</v>
      </c>
      <c r="E16" s="72">
        <f t="shared" si="1"/>
        <v>0.55000000000000004</v>
      </c>
      <c r="I16" s="73">
        <f>0.2314-0.0298</f>
        <v>0.2016</v>
      </c>
    </row>
    <row r="17" spans="1:13" s="69" customFormat="1" x14ac:dyDescent="0.25">
      <c r="A17" s="70" t="s">
        <v>26</v>
      </c>
      <c r="B17" s="71" t="s">
        <v>27</v>
      </c>
      <c r="C17" s="60" t="s">
        <v>17</v>
      </c>
      <c r="D17" s="72">
        <f t="shared" si="0"/>
        <v>2743.68</v>
      </c>
      <c r="E17" s="72">
        <f t="shared" si="1"/>
        <v>0.02</v>
      </c>
      <c r="I17" s="73">
        <v>6.8999999999999999E-3</v>
      </c>
    </row>
    <row r="18" spans="1:13" s="69" customFormat="1" ht="47.25" x14ac:dyDescent="0.25">
      <c r="A18" s="70" t="s">
        <v>28</v>
      </c>
      <c r="B18" s="71" t="s">
        <v>29</v>
      </c>
      <c r="C18" s="60" t="s">
        <v>30</v>
      </c>
      <c r="D18" s="72">
        <f t="shared" si="0"/>
        <v>53501.760000000002</v>
      </c>
      <c r="E18" s="72">
        <f t="shared" si="1"/>
        <v>0.39</v>
      </c>
      <c r="I18" s="73">
        <v>0.14369999999999999</v>
      </c>
    </row>
    <row r="19" spans="1:13" s="69" customFormat="1" x14ac:dyDescent="0.25">
      <c r="A19" s="70" t="s">
        <v>31</v>
      </c>
      <c r="B19" s="71" t="s">
        <v>32</v>
      </c>
      <c r="C19" s="60" t="s">
        <v>33</v>
      </c>
      <c r="D19" s="72">
        <f t="shared" si="0"/>
        <v>2743.68</v>
      </c>
      <c r="E19" s="72">
        <f t="shared" si="1"/>
        <v>0.02</v>
      </c>
      <c r="I19" s="73">
        <v>6.8999999999999999E-3</v>
      </c>
    </row>
    <row r="20" spans="1:13" x14ac:dyDescent="0.25">
      <c r="A20" s="57">
        <v>4</v>
      </c>
      <c r="B20" s="64" t="s">
        <v>34</v>
      </c>
      <c r="C20" s="64"/>
      <c r="D20" s="68">
        <f>SUM(D26,D21)</f>
        <v>504837.12</v>
      </c>
      <c r="E20" s="68">
        <f>3.79-0.12</f>
        <v>3.67</v>
      </c>
      <c r="F20" s="66" t="s">
        <v>35</v>
      </c>
      <c r="G20" s="66"/>
      <c r="I20" s="75">
        <f>D20/12/D5</f>
        <v>3.68</v>
      </c>
      <c r="J20" s="66"/>
      <c r="M20" s="69"/>
    </row>
    <row r="21" spans="1:13" s="69" customFormat="1" x14ac:dyDescent="0.25">
      <c r="A21" s="70"/>
      <c r="B21" s="76" t="s">
        <v>36</v>
      </c>
      <c r="C21" s="60"/>
      <c r="D21" s="77">
        <f>SUM(D22:D25)</f>
        <v>205090.08</v>
      </c>
      <c r="E21" s="77">
        <f>E20*I21</f>
        <v>2.98</v>
      </c>
      <c r="F21" s="78">
        <f>E21/E20</f>
        <v>0.81</v>
      </c>
      <c r="G21" s="79">
        <v>5.72</v>
      </c>
      <c r="I21" s="80">
        <v>0.81140000000000001</v>
      </c>
    </row>
    <row r="22" spans="1:13" s="69" customFormat="1" ht="31.5" x14ac:dyDescent="0.25">
      <c r="A22" s="74" t="s">
        <v>37</v>
      </c>
      <c r="B22" s="81" t="s">
        <v>38</v>
      </c>
      <c r="C22" s="60" t="s">
        <v>39</v>
      </c>
      <c r="D22" s="72">
        <f>E22*6*$D$5</f>
        <v>91913.279999999999</v>
      </c>
      <c r="E22" s="72">
        <f>$E$21*I22</f>
        <v>1.34</v>
      </c>
      <c r="F22" s="78">
        <f t="shared" ref="F22:F32" si="2">E22/G22</f>
        <v>0.38</v>
      </c>
      <c r="G22" s="79">
        <v>3.55</v>
      </c>
      <c r="H22" s="69">
        <v>0.44</v>
      </c>
      <c r="I22" s="73">
        <v>0.44800000000000001</v>
      </c>
    </row>
    <row r="23" spans="1:13" s="69" customFormat="1" x14ac:dyDescent="0.25">
      <c r="A23" s="70" t="s">
        <v>40</v>
      </c>
      <c r="B23" s="81" t="s">
        <v>41</v>
      </c>
      <c r="C23" s="60" t="s">
        <v>42</v>
      </c>
      <c r="D23" s="72">
        <f>E23*6*$D$5</f>
        <v>26750.880000000001</v>
      </c>
      <c r="E23" s="72">
        <f>$E$21*I23</f>
        <v>0.39</v>
      </c>
      <c r="F23" s="78">
        <f t="shared" si="2"/>
        <v>0.11</v>
      </c>
      <c r="G23" s="79">
        <v>3.55</v>
      </c>
      <c r="H23" s="69">
        <v>8.7999999999999995E-2</v>
      </c>
      <c r="I23" s="73">
        <v>0.13</v>
      </c>
    </row>
    <row r="24" spans="1:13" s="69" customFormat="1" x14ac:dyDescent="0.25">
      <c r="A24" s="70" t="s">
        <v>43</v>
      </c>
      <c r="B24" s="81" t="s">
        <v>44</v>
      </c>
      <c r="C24" s="60" t="s">
        <v>45</v>
      </c>
      <c r="D24" s="72">
        <f>E24*6*$D$5</f>
        <v>51444</v>
      </c>
      <c r="E24" s="72">
        <f>$E$21*I24</f>
        <v>0.75</v>
      </c>
      <c r="F24" s="78">
        <f t="shared" si="2"/>
        <v>0.21</v>
      </c>
      <c r="G24" s="79">
        <v>3.55</v>
      </c>
      <c r="H24" s="69">
        <v>0.46010000000000001</v>
      </c>
      <c r="I24" s="73">
        <v>0.25</v>
      </c>
    </row>
    <row r="25" spans="1:13" s="69" customFormat="1" x14ac:dyDescent="0.25">
      <c r="A25" s="70" t="s">
        <v>46</v>
      </c>
      <c r="B25" s="81" t="s">
        <v>47</v>
      </c>
      <c r="C25" s="60" t="s">
        <v>48</v>
      </c>
      <c r="D25" s="72">
        <f>E25*6*$D$5</f>
        <v>34981.919999999998</v>
      </c>
      <c r="E25" s="72">
        <f>$E$21*I25</f>
        <v>0.51</v>
      </c>
      <c r="F25" s="78">
        <f t="shared" si="2"/>
        <v>0.14000000000000001</v>
      </c>
      <c r="G25" s="79">
        <v>3.55</v>
      </c>
      <c r="H25" s="69">
        <v>8.0000000000000004E-4</v>
      </c>
      <c r="I25" s="73">
        <v>0.17199999999999999</v>
      </c>
    </row>
    <row r="26" spans="1:13" s="69" customFormat="1" x14ac:dyDescent="0.25">
      <c r="A26" s="70"/>
      <c r="B26" s="76" t="s">
        <v>49</v>
      </c>
      <c r="C26" s="60"/>
      <c r="D26" s="77">
        <f>SUM(D27:D32)</f>
        <v>299747.03999999998</v>
      </c>
      <c r="E26" s="77">
        <f>I26*E20</f>
        <v>4.3600000000000003</v>
      </c>
      <c r="F26" s="82">
        <f t="shared" si="2"/>
        <v>0.76223776223776196</v>
      </c>
      <c r="G26" s="79">
        <v>5.72</v>
      </c>
      <c r="I26" s="80">
        <f>2-I21</f>
        <v>1.1886000000000001</v>
      </c>
      <c r="J26" s="83"/>
    </row>
    <row r="27" spans="1:13" s="69" customFormat="1" x14ac:dyDescent="0.25">
      <c r="A27" s="70" t="s">
        <v>50</v>
      </c>
      <c r="B27" s="71" t="s">
        <v>51</v>
      </c>
      <c r="C27" s="60" t="s">
        <v>52</v>
      </c>
      <c r="D27" s="72">
        <f t="shared" ref="D27:D32" si="3">E27*6*$D$5</f>
        <v>145415.04000000001</v>
      </c>
      <c r="E27" s="72">
        <f t="shared" ref="E27:E32" si="4">$E$26*I27</f>
        <v>2.12</v>
      </c>
      <c r="F27" s="78">
        <f t="shared" si="2"/>
        <v>0.27</v>
      </c>
      <c r="G27" s="79">
        <v>7.89</v>
      </c>
      <c r="H27" s="69">
        <v>0.45450000000000002</v>
      </c>
      <c r="I27" s="20">
        <v>0.48599999999999999</v>
      </c>
    </row>
    <row r="28" spans="1:13" s="69" customFormat="1" x14ac:dyDescent="0.25">
      <c r="A28" s="70" t="s">
        <v>53</v>
      </c>
      <c r="B28" s="71" t="s">
        <v>54</v>
      </c>
      <c r="C28" s="60" t="s">
        <v>55</v>
      </c>
      <c r="D28" s="72">
        <f t="shared" si="3"/>
        <v>63104.639999999999</v>
      </c>
      <c r="E28" s="72">
        <f t="shared" si="4"/>
        <v>0.92</v>
      </c>
      <c r="F28" s="78">
        <f t="shared" si="2"/>
        <v>0.12</v>
      </c>
      <c r="G28" s="79">
        <v>7.89</v>
      </c>
      <c r="H28" s="69">
        <v>0.4632</v>
      </c>
      <c r="I28" s="20">
        <v>0.21</v>
      </c>
      <c r="L28" s="56"/>
      <c r="M28" s="56"/>
    </row>
    <row r="29" spans="1:13" s="69" customFormat="1" ht="31.5" x14ac:dyDescent="0.25">
      <c r="A29" s="74" t="s">
        <v>56</v>
      </c>
      <c r="B29" s="71" t="s">
        <v>57</v>
      </c>
      <c r="C29" s="60" t="s">
        <v>58</v>
      </c>
      <c r="D29" s="72">
        <f t="shared" si="3"/>
        <v>24007.200000000001</v>
      </c>
      <c r="E29" s="72">
        <f t="shared" si="4"/>
        <v>0.35</v>
      </c>
      <c r="F29" s="78">
        <f t="shared" si="2"/>
        <v>0.04</v>
      </c>
      <c r="G29" s="79">
        <v>7.89</v>
      </c>
      <c r="H29" s="69">
        <v>1.29E-2</v>
      </c>
      <c r="I29" s="20">
        <v>0.08</v>
      </c>
    </row>
    <row r="30" spans="1:13" s="69" customFormat="1" x14ac:dyDescent="0.25">
      <c r="A30" s="70" t="s">
        <v>102</v>
      </c>
      <c r="B30" s="71" t="s">
        <v>60</v>
      </c>
      <c r="C30" s="60" t="s">
        <v>61</v>
      </c>
      <c r="D30" s="72">
        <f t="shared" si="3"/>
        <v>15090.24</v>
      </c>
      <c r="E30" s="72">
        <f t="shared" si="4"/>
        <v>0.22</v>
      </c>
      <c r="F30" s="78">
        <f t="shared" si="2"/>
        <v>0.03</v>
      </c>
      <c r="G30" s="79">
        <v>7.89</v>
      </c>
      <c r="H30" s="69">
        <v>4.7600000000000003E-2</v>
      </c>
      <c r="I30" s="20">
        <v>0.05</v>
      </c>
    </row>
    <row r="31" spans="1:13" s="69" customFormat="1" x14ac:dyDescent="0.25">
      <c r="A31" s="70" t="s">
        <v>103</v>
      </c>
      <c r="B31" s="71" t="s">
        <v>63</v>
      </c>
      <c r="C31" s="60" t="s">
        <v>64</v>
      </c>
      <c r="D31" s="72">
        <f t="shared" si="3"/>
        <v>4801.4399999999996</v>
      </c>
      <c r="E31" s="72">
        <f t="shared" si="4"/>
        <v>7.0000000000000007E-2</v>
      </c>
      <c r="F31" s="78">
        <f t="shared" si="2"/>
        <v>0.01</v>
      </c>
      <c r="G31" s="79">
        <v>7.89</v>
      </c>
      <c r="H31" s="69">
        <v>4.3E-3</v>
      </c>
      <c r="I31" s="20">
        <v>1.4999999999999999E-2</v>
      </c>
    </row>
    <row r="32" spans="1:13" s="69" customFormat="1" x14ac:dyDescent="0.25">
      <c r="A32" s="70" t="s">
        <v>65</v>
      </c>
      <c r="B32" s="71" t="s">
        <v>66</v>
      </c>
      <c r="C32" s="60" t="s">
        <v>67</v>
      </c>
      <c r="D32" s="72">
        <f t="shared" si="3"/>
        <v>47328.480000000003</v>
      </c>
      <c r="E32" s="72">
        <f t="shared" si="4"/>
        <v>0.69</v>
      </c>
      <c r="F32" s="78">
        <f t="shared" si="2"/>
        <v>0.09</v>
      </c>
      <c r="G32" s="79">
        <v>7.89</v>
      </c>
      <c r="H32" s="69">
        <f>1-H27-H28-H29-H30-H31</f>
        <v>1.7500000000000002E-2</v>
      </c>
      <c r="I32" s="20">
        <v>0.158</v>
      </c>
    </row>
    <row r="33" spans="1:13" s="15" customFormat="1" x14ac:dyDescent="0.25">
      <c r="A33" s="16">
        <v>5</v>
      </c>
      <c r="B33" s="154" t="s">
        <v>117</v>
      </c>
      <c r="C33" s="67" t="s">
        <v>17</v>
      </c>
      <c r="D33" s="156">
        <f>E33*12*$D$5</f>
        <v>16462.080000000002</v>
      </c>
      <c r="E33" s="155">
        <v>0.12</v>
      </c>
      <c r="F33" s="151"/>
      <c r="G33" s="152"/>
      <c r="I33" s="20"/>
      <c r="J33" s="148">
        <f t="shared" ref="J33" si="5">E33*$D$5*12</f>
        <v>16462.080000000002</v>
      </c>
      <c r="K33" s="148">
        <f t="shared" ref="K33" si="6">J33-D33</f>
        <v>0</v>
      </c>
    </row>
    <row r="34" spans="1:13" ht="62.25" customHeight="1" x14ac:dyDescent="0.25">
      <c r="A34" s="57">
        <v>6</v>
      </c>
      <c r="B34" s="31" t="s">
        <v>113</v>
      </c>
      <c r="C34" s="13" t="s">
        <v>114</v>
      </c>
      <c r="D34" s="68">
        <f>3600+4527.6</f>
        <v>8127.6</v>
      </c>
      <c r="E34" s="68">
        <v>0.06</v>
      </c>
      <c r="F34" s="66">
        <f>E34*12*2602.7</f>
        <v>1873.94</v>
      </c>
      <c r="G34" s="66">
        <f>D34-F34</f>
        <v>6253.66</v>
      </c>
      <c r="I34" s="56">
        <f>D34/12/D5</f>
        <v>5.9245976207137903E-2</v>
      </c>
      <c r="J34" s="66"/>
      <c r="M34" s="69"/>
    </row>
    <row r="35" spans="1:13" x14ac:dyDescent="0.25">
      <c r="A35" s="85">
        <v>7</v>
      </c>
      <c r="B35" s="84" t="s">
        <v>68</v>
      </c>
      <c r="C35" s="86"/>
      <c r="D35" s="68">
        <f>SUM(D36:D37)</f>
        <v>161877.12</v>
      </c>
      <c r="E35" s="68">
        <v>1.18</v>
      </c>
      <c r="I35" s="56">
        <f>D35/12/D5</f>
        <v>1.18</v>
      </c>
      <c r="J35" s="66"/>
    </row>
    <row r="36" spans="1:13" ht="31.5" x14ac:dyDescent="0.25">
      <c r="A36" s="16" t="s">
        <v>115</v>
      </c>
      <c r="B36" s="87" t="s">
        <v>69</v>
      </c>
      <c r="C36" s="88" t="s">
        <v>17</v>
      </c>
      <c r="D36" s="89">
        <f>E36*12*$D$5</f>
        <v>120721.92</v>
      </c>
      <c r="E36" s="89">
        <f>I36*$E$35</f>
        <v>0.88</v>
      </c>
      <c r="I36" s="90">
        <v>0.74180000000000001</v>
      </c>
    </row>
    <row r="37" spans="1:13" x14ac:dyDescent="0.25">
      <c r="A37" s="21" t="s">
        <v>116</v>
      </c>
      <c r="B37" s="91" t="s">
        <v>70</v>
      </c>
      <c r="C37" s="88" t="s">
        <v>64</v>
      </c>
      <c r="D37" s="89">
        <f>E37*12*$D$5</f>
        <v>41155.199999999997</v>
      </c>
      <c r="E37" s="89">
        <f>I37*$E$35</f>
        <v>0.3</v>
      </c>
      <c r="I37" s="90">
        <v>0.25819999999999999</v>
      </c>
    </row>
    <row r="38" spans="1:13" s="69" customFormat="1" ht="31.5" x14ac:dyDescent="0.25">
      <c r="A38" s="85">
        <v>8</v>
      </c>
      <c r="B38" s="84" t="s">
        <v>71</v>
      </c>
      <c r="C38" s="67" t="s">
        <v>85</v>
      </c>
      <c r="D38" s="65">
        <f>5273.6*6*12</f>
        <v>379699.20000000001</v>
      </c>
      <c r="E38" s="65">
        <f>D38/12/D5</f>
        <v>2.77</v>
      </c>
      <c r="J38" s="93"/>
    </row>
    <row r="39" spans="1:13" s="69" customFormat="1" ht="31.5" x14ac:dyDescent="0.25">
      <c r="A39" s="85">
        <v>9</v>
      </c>
      <c r="B39" s="84" t="s">
        <v>84</v>
      </c>
      <c r="C39" s="67" t="s">
        <v>85</v>
      </c>
      <c r="D39" s="65">
        <v>29400</v>
      </c>
      <c r="E39" s="65">
        <f>D39/12/D5</f>
        <v>0.21</v>
      </c>
      <c r="J39" s="93"/>
    </row>
    <row r="40" spans="1:13" s="2" customFormat="1" ht="30" customHeight="1" x14ac:dyDescent="0.25">
      <c r="A40" s="85">
        <v>10</v>
      </c>
      <c r="B40" s="31" t="s">
        <v>129</v>
      </c>
      <c r="C40" s="67" t="s">
        <v>17</v>
      </c>
      <c r="D40" s="11">
        <f>E40*D5*12</f>
        <v>367653.12</v>
      </c>
      <c r="E40" s="11">
        <f>1.03+1.65</f>
        <v>2.68</v>
      </c>
      <c r="J40" s="12"/>
      <c r="K40" s="105"/>
    </row>
    <row r="41" spans="1:13" x14ac:dyDescent="0.25">
      <c r="A41" s="85">
        <v>11</v>
      </c>
      <c r="B41" s="92" t="s">
        <v>72</v>
      </c>
      <c r="C41" s="86"/>
      <c r="D41" s="68">
        <f>E41*12*D5</f>
        <v>3023535.36</v>
      </c>
      <c r="E41" s="68">
        <f>SUM(E38:E40,E33:E35,E20,E10:E12)</f>
        <v>22.04</v>
      </c>
      <c r="G41" s="66" t="e">
        <f>E10+#REF!+E11+E20+#REF!+#REF!</f>
        <v>#REF!</v>
      </c>
      <c r="I41" s="66">
        <f>D41/12/D5</f>
        <v>22.04</v>
      </c>
      <c r="J41" s="66"/>
    </row>
    <row r="42" spans="1:13" ht="126" x14ac:dyDescent="0.25">
      <c r="A42" s="85">
        <v>12</v>
      </c>
      <c r="B42" s="94" t="s">
        <v>126</v>
      </c>
      <c r="C42" s="53" t="s">
        <v>74</v>
      </c>
      <c r="D42" s="68">
        <f>E42*12*D5</f>
        <v>454079.04</v>
      </c>
      <c r="E42" s="68">
        <f>E41*0.15</f>
        <v>3.31</v>
      </c>
      <c r="F42" s="66">
        <f>E42*12*2602.7</f>
        <v>103379.24</v>
      </c>
      <c r="G42" s="66">
        <f>D42-F42</f>
        <v>350699.8</v>
      </c>
      <c r="H42" s="56">
        <f>E42*12*2602.7</f>
        <v>103379.24400000001</v>
      </c>
      <c r="J42" s="66"/>
    </row>
    <row r="43" spans="1:13" x14ac:dyDescent="0.25">
      <c r="A43" s="85">
        <v>13</v>
      </c>
      <c r="B43" s="95" t="s">
        <v>75</v>
      </c>
      <c r="C43" s="96"/>
      <c r="D43" s="97">
        <f>D41+D42</f>
        <v>3477614.4</v>
      </c>
      <c r="E43" s="97">
        <f>E41+E42</f>
        <v>25.35</v>
      </c>
      <c r="G43" s="66"/>
      <c r="I43" s="66">
        <v>21.35</v>
      </c>
      <c r="J43" s="66"/>
    </row>
    <row r="44" spans="1:13" x14ac:dyDescent="0.25">
      <c r="A44" s="85">
        <v>14</v>
      </c>
      <c r="B44" s="92" t="s">
        <v>76</v>
      </c>
      <c r="C44" s="86"/>
      <c r="D44" s="68">
        <f>SUM(D46:D47)</f>
        <v>141756.79999999999</v>
      </c>
      <c r="E44" s="68">
        <f>D44/10/D5</f>
        <v>1.24</v>
      </c>
      <c r="I44" s="56">
        <v>19.37</v>
      </c>
    </row>
    <row r="45" spans="1:13" hidden="1" x14ac:dyDescent="0.25">
      <c r="A45" s="85">
        <v>15</v>
      </c>
      <c r="B45" s="98"/>
      <c r="C45" s="108"/>
      <c r="D45" s="99"/>
      <c r="E45" s="99">
        <f>D45/10/$D$5</f>
        <v>0</v>
      </c>
    </row>
    <row r="46" spans="1:13" x14ac:dyDescent="0.25">
      <c r="A46" s="85"/>
      <c r="B46" s="98"/>
      <c r="C46" s="111" t="s">
        <v>132</v>
      </c>
      <c r="D46" s="99">
        <f>77966.24/1.1</f>
        <v>70878.399999999994</v>
      </c>
      <c r="E46" s="99">
        <f>D46/11/D5</f>
        <v>0.56000000000000005</v>
      </c>
    </row>
    <row r="47" spans="1:13" x14ac:dyDescent="0.25">
      <c r="A47" s="85"/>
      <c r="B47" s="98"/>
      <c r="C47" s="108" t="s">
        <v>134</v>
      </c>
      <c r="D47" s="99">
        <f>77966.24/1.1</f>
        <v>70878.399999999994</v>
      </c>
      <c r="E47" s="99">
        <f>D47/11/D5</f>
        <v>0.56000000000000005</v>
      </c>
    </row>
    <row r="48" spans="1:13" ht="126" x14ac:dyDescent="0.25">
      <c r="A48" s="85">
        <v>15</v>
      </c>
      <c r="B48" s="100" t="s">
        <v>73</v>
      </c>
      <c r="C48" s="54" t="s">
        <v>77</v>
      </c>
      <c r="D48" s="101">
        <f>D44*0.1</f>
        <v>14175.68</v>
      </c>
      <c r="E48" s="102">
        <f>D48/11/$D$5</f>
        <v>0.11</v>
      </c>
    </row>
    <row r="49" spans="1:9" x14ac:dyDescent="0.25">
      <c r="A49" s="85">
        <v>16</v>
      </c>
      <c r="B49" s="95" t="s">
        <v>78</v>
      </c>
      <c r="C49" s="96"/>
      <c r="D49" s="97">
        <f>SUM(D45:D48)</f>
        <v>155932.48000000001</v>
      </c>
      <c r="E49" s="97">
        <f>D49/11/D5</f>
        <v>1.24</v>
      </c>
    </row>
    <row r="50" spans="1:9" x14ac:dyDescent="0.25">
      <c r="A50" s="85">
        <v>17</v>
      </c>
      <c r="B50" s="95" t="s">
        <v>79</v>
      </c>
      <c r="C50" s="96"/>
      <c r="D50" s="97">
        <f>D43+D49</f>
        <v>3633546.88</v>
      </c>
      <c r="E50" s="97">
        <f>E43+E49</f>
        <v>26.59</v>
      </c>
      <c r="I50" s="75">
        <f>E43/I44</f>
        <v>1.3087</v>
      </c>
    </row>
    <row r="51" spans="1:9" hidden="1" x14ac:dyDescent="0.25"/>
    <row r="52" spans="1:9" hidden="1" x14ac:dyDescent="0.25"/>
    <row r="54" spans="1:9" x14ac:dyDescent="0.25">
      <c r="B54" s="104" t="s">
        <v>80</v>
      </c>
      <c r="C54" s="103" t="s">
        <v>81</v>
      </c>
    </row>
    <row r="55" spans="1:9" x14ac:dyDescent="0.25">
      <c r="B55" s="104"/>
      <c r="C55" s="104"/>
    </row>
    <row r="56" spans="1:9" x14ac:dyDescent="0.25">
      <c r="B56" s="104" t="s">
        <v>82</v>
      </c>
      <c r="C56" s="103" t="s">
        <v>83</v>
      </c>
    </row>
  </sheetData>
  <mergeCells count="9">
    <mergeCell ref="D1:F1"/>
    <mergeCell ref="B2:E2"/>
    <mergeCell ref="C3:E3"/>
    <mergeCell ref="C4:E4"/>
    <mergeCell ref="C5:C9"/>
    <mergeCell ref="D5:E5"/>
    <mergeCell ref="D6:E6"/>
    <mergeCell ref="D7:E7"/>
    <mergeCell ref="D8:E8"/>
  </mergeCells>
  <phoneticPr fontId="0" type="noConversion"/>
  <pageMargins left="0.23622047244094491" right="0.23622047244094491" top="0.38" bottom="0.16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view="pageBreakPreview" topLeftCell="A20" zoomScale="60" zoomScaleNormal="64" workbookViewId="0">
      <selection activeCell="E43" sqref="E43"/>
    </sheetView>
  </sheetViews>
  <sheetFormatPr defaultColWidth="10.28515625" defaultRowHeight="15.75" x14ac:dyDescent="0.25"/>
  <cols>
    <col min="1" max="1" width="7.5703125" style="1" customWidth="1"/>
    <col min="2" max="2" width="93.42578125" style="2" customWidth="1"/>
    <col min="3" max="3" width="75.42578125" style="2" customWidth="1"/>
    <col min="4" max="4" width="17" style="2" customWidth="1"/>
    <col min="5" max="5" width="18.28515625" style="2" customWidth="1"/>
    <col min="6" max="6" width="7.85546875" style="2" hidden="1" customWidth="1"/>
    <col min="7" max="7" width="7" style="2" hidden="1" customWidth="1"/>
    <col min="8" max="8" width="0" style="2" hidden="1" customWidth="1"/>
    <col min="9" max="9" width="10.5703125" style="2" bestFit="1" customWidth="1"/>
    <col min="10" max="10" width="13.85546875" style="2" customWidth="1"/>
    <col min="11" max="11" width="15.7109375" style="105" customWidth="1"/>
    <col min="12" max="16384" width="10.28515625" style="2"/>
  </cols>
  <sheetData>
    <row r="1" spans="1:13" ht="92.25" customHeight="1" x14ac:dyDescent="0.25">
      <c r="D1" s="199" t="s">
        <v>118</v>
      </c>
      <c r="E1" s="199"/>
      <c r="F1" s="200"/>
    </row>
    <row r="2" spans="1:13" ht="34.5" customHeight="1" x14ac:dyDescent="0.25">
      <c r="B2" s="201" t="s">
        <v>121</v>
      </c>
      <c r="C2" s="201"/>
      <c r="D2" s="201"/>
      <c r="E2" s="201"/>
    </row>
    <row r="3" spans="1:13" ht="19.5" customHeight="1" x14ac:dyDescent="0.25">
      <c r="A3" s="3"/>
      <c r="B3" s="4" t="s">
        <v>0</v>
      </c>
      <c r="C3" s="202" t="s">
        <v>99</v>
      </c>
      <c r="D3" s="203"/>
      <c r="E3" s="203"/>
      <c r="I3" s="5"/>
    </row>
    <row r="4" spans="1:13" ht="51.75" hidden="1" customHeight="1" x14ac:dyDescent="0.25">
      <c r="A4" s="3"/>
      <c r="B4" s="4" t="s">
        <v>1</v>
      </c>
      <c r="C4" s="204" t="s">
        <v>2</v>
      </c>
      <c r="D4" s="203"/>
      <c r="E4" s="203"/>
    </row>
    <row r="5" spans="1:13" ht="21" customHeight="1" x14ac:dyDescent="0.25">
      <c r="A5" s="3"/>
      <c r="B5" s="6" t="s">
        <v>3</v>
      </c>
      <c r="C5" s="205" t="s">
        <v>4</v>
      </c>
      <c r="D5" s="206">
        <f>SUM(D7:E8)</f>
        <v>2500.4</v>
      </c>
      <c r="E5" s="207"/>
      <c r="I5" s="5"/>
    </row>
    <row r="6" spans="1:13" ht="14.25" hidden="1" customHeight="1" x14ac:dyDescent="0.25">
      <c r="A6" s="3"/>
      <c r="B6" s="6" t="s">
        <v>5</v>
      </c>
      <c r="C6" s="205"/>
      <c r="D6" s="204">
        <v>3048.1</v>
      </c>
      <c r="E6" s="207"/>
    </row>
    <row r="7" spans="1:13" x14ac:dyDescent="0.25">
      <c r="A7" s="3"/>
      <c r="B7" s="6" t="s">
        <v>6</v>
      </c>
      <c r="C7" s="205"/>
      <c r="D7" s="206">
        <v>2500.4</v>
      </c>
      <c r="E7" s="206"/>
    </row>
    <row r="8" spans="1:13" x14ac:dyDescent="0.25">
      <c r="A8" s="3"/>
      <c r="B8" s="6" t="s">
        <v>7</v>
      </c>
      <c r="C8" s="205"/>
      <c r="D8" s="206">
        <v>0</v>
      </c>
      <c r="E8" s="208"/>
    </row>
    <row r="9" spans="1:13" ht="54" customHeight="1" x14ac:dyDescent="0.25">
      <c r="A9" s="3"/>
      <c r="B9" s="7" t="s">
        <v>8</v>
      </c>
      <c r="C9" s="205"/>
      <c r="D9" s="6" t="s">
        <v>9</v>
      </c>
      <c r="E9" s="8" t="s">
        <v>10</v>
      </c>
    </row>
    <row r="10" spans="1:13" ht="206.25" customHeight="1" x14ac:dyDescent="0.25">
      <c r="A10" s="3">
        <v>1</v>
      </c>
      <c r="B10" s="9" t="s">
        <v>11</v>
      </c>
      <c r="C10" s="10" t="s">
        <v>131</v>
      </c>
      <c r="D10" s="11">
        <f>E10*12*D5</f>
        <v>242738.83</v>
      </c>
      <c r="E10" s="11">
        <v>8.09</v>
      </c>
      <c r="F10" s="12">
        <f>E10*12*2602.7</f>
        <v>252670.12</v>
      </c>
      <c r="G10" s="12">
        <f>D10-F10</f>
        <v>-9931.2900000000009</v>
      </c>
      <c r="J10" s="12"/>
    </row>
    <row r="11" spans="1:13" ht="33.75" customHeight="1" x14ac:dyDescent="0.25">
      <c r="A11" s="3">
        <v>2</v>
      </c>
      <c r="B11" s="9" t="s">
        <v>12</v>
      </c>
      <c r="C11" s="13" t="s">
        <v>13</v>
      </c>
      <c r="D11" s="11">
        <f>E11*D5*12</f>
        <v>25504.080000000002</v>
      </c>
      <c r="E11" s="11">
        <v>0.85</v>
      </c>
      <c r="F11" s="12">
        <f>E11*12*2602.7</f>
        <v>26547.54</v>
      </c>
      <c r="G11" s="12">
        <f>D11-F11</f>
        <v>-1043.46</v>
      </c>
      <c r="J11" s="12"/>
    </row>
    <row r="12" spans="1:13" ht="29.25" customHeight="1" x14ac:dyDescent="0.25">
      <c r="A12" s="3">
        <v>3</v>
      </c>
      <c r="B12" s="9" t="s">
        <v>14</v>
      </c>
      <c r="C12" s="9"/>
      <c r="D12" s="14">
        <f>E12*D5*12</f>
        <v>93314.93</v>
      </c>
      <c r="E12" s="14">
        <v>3.11</v>
      </c>
      <c r="F12" s="12">
        <f>E12*12*2602.7</f>
        <v>97132.76</v>
      </c>
      <c r="G12" s="12">
        <f>D12-F12</f>
        <v>-3817.83</v>
      </c>
      <c r="I12" s="2">
        <f>D12/12/D5</f>
        <v>3.1100000666560002</v>
      </c>
      <c r="J12" s="12"/>
      <c r="L12" s="15"/>
      <c r="M12" s="15"/>
    </row>
    <row r="13" spans="1:13" s="69" customFormat="1" x14ac:dyDescent="0.25">
      <c r="A13" s="70" t="s">
        <v>15</v>
      </c>
      <c r="B13" s="71" t="s">
        <v>16</v>
      </c>
      <c r="C13" s="60" t="s">
        <v>17</v>
      </c>
      <c r="D13" s="72">
        <f t="shared" ref="D13:D19" si="0">E13*12*$D$5</f>
        <v>33605.379999999997</v>
      </c>
      <c r="E13" s="72">
        <f t="shared" ref="E13:E19" si="1">$E$12*I13</f>
        <v>1.1200000000000001</v>
      </c>
      <c r="I13" s="73">
        <v>0.35909999999999997</v>
      </c>
    </row>
    <row r="14" spans="1:13" s="69" customFormat="1" x14ac:dyDescent="0.25">
      <c r="A14" s="70" t="s">
        <v>18</v>
      </c>
      <c r="B14" s="71" t="s">
        <v>19</v>
      </c>
      <c r="C14" s="60" t="s">
        <v>20</v>
      </c>
      <c r="D14" s="72">
        <f t="shared" si="0"/>
        <v>23403.74</v>
      </c>
      <c r="E14" s="72">
        <f t="shared" si="1"/>
        <v>0.78</v>
      </c>
      <c r="I14" s="73">
        <v>0.25180000000000002</v>
      </c>
    </row>
    <row r="15" spans="1:13" s="69" customFormat="1" x14ac:dyDescent="0.25">
      <c r="A15" s="74" t="s">
        <v>21</v>
      </c>
      <c r="B15" s="71" t="s">
        <v>22</v>
      </c>
      <c r="C15" s="60" t="s">
        <v>17</v>
      </c>
      <c r="D15" s="72">
        <f t="shared" si="0"/>
        <v>2700.43</v>
      </c>
      <c r="E15" s="72">
        <f t="shared" si="1"/>
        <v>0.09</v>
      </c>
      <c r="I15" s="73">
        <v>0.03</v>
      </c>
    </row>
    <row r="16" spans="1:13" s="69" customFormat="1" x14ac:dyDescent="0.25">
      <c r="A16" s="70" t="s">
        <v>23</v>
      </c>
      <c r="B16" s="71" t="s">
        <v>24</v>
      </c>
      <c r="C16" s="60" t="s">
        <v>25</v>
      </c>
      <c r="D16" s="72">
        <f t="shared" si="0"/>
        <v>18903.02</v>
      </c>
      <c r="E16" s="72">
        <f t="shared" si="1"/>
        <v>0.63</v>
      </c>
      <c r="I16" s="73">
        <f>0.2314-0.0298</f>
        <v>0.2016</v>
      </c>
    </row>
    <row r="17" spans="1:13" s="69" customFormat="1" x14ac:dyDescent="0.25">
      <c r="A17" s="70" t="s">
        <v>26</v>
      </c>
      <c r="B17" s="71" t="s">
        <v>27</v>
      </c>
      <c r="C17" s="60" t="s">
        <v>17</v>
      </c>
      <c r="D17" s="72">
        <f t="shared" si="0"/>
        <v>600.1</v>
      </c>
      <c r="E17" s="72">
        <f t="shared" si="1"/>
        <v>0.02</v>
      </c>
      <c r="I17" s="73">
        <v>6.8999999999999999E-3</v>
      </c>
    </row>
    <row r="18" spans="1:13" s="69" customFormat="1" ht="47.25" x14ac:dyDescent="0.25">
      <c r="A18" s="70" t="s">
        <v>28</v>
      </c>
      <c r="B18" s="71" t="s">
        <v>29</v>
      </c>
      <c r="C18" s="60" t="s">
        <v>30</v>
      </c>
      <c r="D18" s="72">
        <f t="shared" si="0"/>
        <v>13502.16</v>
      </c>
      <c r="E18" s="72">
        <f t="shared" si="1"/>
        <v>0.45</v>
      </c>
      <c r="I18" s="73">
        <v>0.14369999999999999</v>
      </c>
    </row>
    <row r="19" spans="1:13" s="69" customFormat="1" x14ac:dyDescent="0.25">
      <c r="A19" s="70" t="s">
        <v>31</v>
      </c>
      <c r="B19" s="71" t="s">
        <v>32</v>
      </c>
      <c r="C19" s="60" t="s">
        <v>33</v>
      </c>
      <c r="D19" s="72">
        <f t="shared" si="0"/>
        <v>600.1</v>
      </c>
      <c r="E19" s="72">
        <f t="shared" si="1"/>
        <v>0.02</v>
      </c>
      <c r="I19" s="73">
        <v>6.8999999999999999E-3</v>
      </c>
    </row>
    <row r="20" spans="1:13" ht="31.5" customHeight="1" x14ac:dyDescent="0.25">
      <c r="A20" s="3">
        <v>4</v>
      </c>
      <c r="B20" s="9" t="s">
        <v>34</v>
      </c>
      <c r="C20" s="9"/>
      <c r="D20" s="14">
        <f>D21+D27</f>
        <v>140722.51</v>
      </c>
      <c r="E20" s="14">
        <v>4.6900000000000004</v>
      </c>
      <c r="F20" s="12" t="s">
        <v>35</v>
      </c>
      <c r="G20" s="12"/>
      <c r="I20" s="22">
        <f>D20/12/D5</f>
        <v>4.6900000000000004</v>
      </c>
      <c r="J20" s="12"/>
      <c r="M20" s="15"/>
    </row>
    <row r="21" spans="1:13" s="15" customFormat="1" x14ac:dyDescent="0.25">
      <c r="A21" s="16"/>
      <c r="B21" s="23" t="s">
        <v>36</v>
      </c>
      <c r="C21" s="18"/>
      <c r="D21" s="24">
        <f>SUM(D22:D26)</f>
        <v>58359.33</v>
      </c>
      <c r="E21" s="24">
        <f>E20*I21</f>
        <v>3.89</v>
      </c>
      <c r="F21" s="25">
        <f>E21/E20</f>
        <v>0.83</v>
      </c>
      <c r="G21" s="26">
        <v>5.72</v>
      </c>
      <c r="I21" s="27">
        <v>0.83020000000000005</v>
      </c>
      <c r="K21" s="105"/>
    </row>
    <row r="22" spans="1:13" s="15" customFormat="1" ht="25.5" customHeight="1" x14ac:dyDescent="0.25">
      <c r="A22" s="21" t="s">
        <v>37</v>
      </c>
      <c r="B22" s="28" t="s">
        <v>38</v>
      </c>
      <c r="C22" s="18" t="s">
        <v>39</v>
      </c>
      <c r="D22" s="19">
        <f>E22*6*$D$5</f>
        <v>10651.7</v>
      </c>
      <c r="E22" s="19">
        <f>$E$21*I22</f>
        <v>0.71</v>
      </c>
      <c r="F22" s="25">
        <f t="shared" ref="F22:F34" si="2">E22/G22</f>
        <v>0.2</v>
      </c>
      <c r="G22" s="26">
        <v>3.55</v>
      </c>
      <c r="H22" s="15">
        <v>0.44</v>
      </c>
      <c r="I22" s="20">
        <v>0.18290000000000001</v>
      </c>
      <c r="J22" s="73">
        <v>0.44800000000000001</v>
      </c>
      <c r="K22" s="37"/>
    </row>
    <row r="23" spans="1:13" s="15" customFormat="1" ht="20.25" customHeight="1" x14ac:dyDescent="0.25">
      <c r="A23" s="16" t="s">
        <v>40</v>
      </c>
      <c r="B23" s="28" t="s">
        <v>41</v>
      </c>
      <c r="C23" s="18" t="s">
        <v>42</v>
      </c>
      <c r="D23" s="19">
        <f>E23*6*$D$5</f>
        <v>3150.5</v>
      </c>
      <c r="E23" s="19">
        <f>$E$21*I23</f>
        <v>0.21</v>
      </c>
      <c r="F23" s="25">
        <f t="shared" si="2"/>
        <v>0.06</v>
      </c>
      <c r="G23" s="26">
        <v>3.55</v>
      </c>
      <c r="H23" s="15">
        <v>8.7999999999999995E-2</v>
      </c>
      <c r="I23" s="20">
        <v>5.3100000000000001E-2</v>
      </c>
      <c r="J23" s="73">
        <v>0.13</v>
      </c>
      <c r="K23" s="37"/>
    </row>
    <row r="24" spans="1:13" s="15" customFormat="1" x14ac:dyDescent="0.25">
      <c r="A24" s="16" t="s">
        <v>43</v>
      </c>
      <c r="B24" s="28" t="s">
        <v>44</v>
      </c>
      <c r="C24" s="18" t="s">
        <v>45</v>
      </c>
      <c r="D24" s="19">
        <f>E24*6*$D$5</f>
        <v>5250.84</v>
      </c>
      <c r="E24" s="19">
        <f>$E$21*I24</f>
        <v>0.35</v>
      </c>
      <c r="F24" s="25">
        <f t="shared" si="2"/>
        <v>0.1</v>
      </c>
      <c r="G24" s="26">
        <v>3.55</v>
      </c>
      <c r="H24" s="15">
        <v>0.46010000000000001</v>
      </c>
      <c r="I24" s="20">
        <v>0.09</v>
      </c>
      <c r="J24" s="73">
        <v>0.25</v>
      </c>
      <c r="K24" s="37"/>
    </row>
    <row r="25" spans="1:13" s="15" customFormat="1" x14ac:dyDescent="0.25">
      <c r="A25" s="16" t="s">
        <v>46</v>
      </c>
      <c r="B25" s="28" t="s">
        <v>47</v>
      </c>
      <c r="C25" s="18" t="s">
        <v>48</v>
      </c>
      <c r="D25" s="19">
        <f>E25*6*$D$5</f>
        <v>4050.65</v>
      </c>
      <c r="E25" s="19">
        <f>$E$21*I25</f>
        <v>0.27</v>
      </c>
      <c r="F25" s="25">
        <f t="shared" si="2"/>
        <v>0.08</v>
      </c>
      <c r="G25" s="26">
        <v>3.55</v>
      </c>
      <c r="H25" s="15">
        <v>8.0000000000000004E-4</v>
      </c>
      <c r="I25" s="20">
        <v>7.0199999999999999E-2</v>
      </c>
      <c r="J25" s="73">
        <v>0.17199999999999999</v>
      </c>
      <c r="K25" s="37"/>
    </row>
    <row r="26" spans="1:13" s="15" customFormat="1" x14ac:dyDescent="0.25">
      <c r="A26" s="16" t="s">
        <v>50</v>
      </c>
      <c r="B26" s="28" t="s">
        <v>100</v>
      </c>
      <c r="C26" s="18" t="s">
        <v>101</v>
      </c>
      <c r="D26" s="19">
        <f>E26*6*$D$5</f>
        <v>35255.64</v>
      </c>
      <c r="E26" s="19">
        <f>$E$21*I26</f>
        <v>2.35</v>
      </c>
      <c r="F26" s="25">
        <f t="shared" si="2"/>
        <v>0.66</v>
      </c>
      <c r="G26" s="26">
        <v>3.55</v>
      </c>
      <c r="H26" s="15" t="e">
        <f>1-H23-H24-H25-#REF!-H22</f>
        <v>#REF!</v>
      </c>
      <c r="I26" s="20">
        <v>0.6038</v>
      </c>
      <c r="J26" s="80">
        <f>2-J21</f>
        <v>2</v>
      </c>
      <c r="K26" s="37"/>
    </row>
    <row r="27" spans="1:13" s="15" customFormat="1" x14ac:dyDescent="0.25">
      <c r="A27" s="16"/>
      <c r="B27" s="23" t="s">
        <v>49</v>
      </c>
      <c r="C27" s="18"/>
      <c r="D27" s="24">
        <f>SUM(D28:D34)</f>
        <v>82363.179999999993</v>
      </c>
      <c r="E27" s="24">
        <f>I27*E20</f>
        <v>5.49</v>
      </c>
      <c r="F27" s="29">
        <f t="shared" si="2"/>
        <v>0.95979020979021001</v>
      </c>
      <c r="G27" s="26">
        <v>5.72</v>
      </c>
      <c r="I27" s="27">
        <f>2-I21</f>
        <v>1.1698</v>
      </c>
      <c r="J27" s="20">
        <v>0.48699999999999999</v>
      </c>
      <c r="K27" s="37"/>
    </row>
    <row r="28" spans="1:13" s="15" customFormat="1" ht="16.5" customHeight="1" x14ac:dyDescent="0.25">
      <c r="A28" s="16" t="s">
        <v>53</v>
      </c>
      <c r="B28" s="17" t="s">
        <v>51</v>
      </c>
      <c r="C28" s="18" t="s">
        <v>52</v>
      </c>
      <c r="D28" s="19">
        <f t="shared" ref="D28:D34" si="3">E28*6*$D$5</f>
        <v>17252.759999999998</v>
      </c>
      <c r="E28" s="19">
        <f t="shared" ref="E28:E34" si="4">$E$27*I28</f>
        <v>1.1499999999999999</v>
      </c>
      <c r="F28" s="25">
        <f t="shared" si="2"/>
        <v>0.15</v>
      </c>
      <c r="G28" s="26">
        <v>7.89</v>
      </c>
      <c r="H28" s="15">
        <v>0.45450000000000002</v>
      </c>
      <c r="I28" s="20">
        <f>0.449-0.2416-0.049+0.051001</f>
        <v>0.2094</v>
      </c>
      <c r="J28" s="20">
        <v>0.21</v>
      </c>
      <c r="K28" s="37"/>
    </row>
    <row r="29" spans="1:13" s="15" customFormat="1" ht="15" customHeight="1" x14ac:dyDescent="0.25">
      <c r="A29" s="16" t="s">
        <v>56</v>
      </c>
      <c r="B29" s="17" t="s">
        <v>54</v>
      </c>
      <c r="C29" s="18" t="s">
        <v>55</v>
      </c>
      <c r="D29" s="19">
        <f t="shared" si="3"/>
        <v>8251.32</v>
      </c>
      <c r="E29" s="19">
        <f t="shared" si="4"/>
        <v>0.55000000000000004</v>
      </c>
      <c r="F29" s="25">
        <f t="shared" si="2"/>
        <v>7.0000000000000007E-2</v>
      </c>
      <c r="G29" s="26">
        <v>7.89</v>
      </c>
      <c r="H29" s="15">
        <v>0.4632</v>
      </c>
      <c r="I29" s="20">
        <v>0.1</v>
      </c>
      <c r="J29" s="20">
        <v>0.08</v>
      </c>
      <c r="K29" s="37"/>
      <c r="L29" s="2"/>
      <c r="M29" s="2"/>
    </row>
    <row r="30" spans="1:13" s="15" customFormat="1" ht="20.25" customHeight="1" x14ac:dyDescent="0.25">
      <c r="A30" s="21" t="s">
        <v>102</v>
      </c>
      <c r="B30" s="17" t="s">
        <v>57</v>
      </c>
      <c r="C30" s="18" t="s">
        <v>58</v>
      </c>
      <c r="D30" s="19">
        <f t="shared" si="3"/>
        <v>8101.3</v>
      </c>
      <c r="E30" s="19">
        <f t="shared" si="4"/>
        <v>0.54</v>
      </c>
      <c r="F30" s="25">
        <f t="shared" si="2"/>
        <v>7.0000000000000007E-2</v>
      </c>
      <c r="G30" s="26">
        <v>7.89</v>
      </c>
      <c r="H30" s="15">
        <v>1.29E-2</v>
      </c>
      <c r="I30" s="20">
        <v>9.9000000000000005E-2</v>
      </c>
      <c r="J30" s="20">
        <v>0.05</v>
      </c>
      <c r="K30" s="37"/>
    </row>
    <row r="31" spans="1:13" s="15" customFormat="1" ht="19.5" customHeight="1" x14ac:dyDescent="0.25">
      <c r="A31" s="16" t="s">
        <v>103</v>
      </c>
      <c r="B31" s="17" t="s">
        <v>60</v>
      </c>
      <c r="C31" s="18" t="s">
        <v>61</v>
      </c>
      <c r="D31" s="19">
        <f t="shared" si="3"/>
        <v>3900.62</v>
      </c>
      <c r="E31" s="19">
        <f t="shared" si="4"/>
        <v>0.26</v>
      </c>
      <c r="F31" s="25">
        <f t="shared" si="2"/>
        <v>0.03</v>
      </c>
      <c r="G31" s="26">
        <v>7.89</v>
      </c>
      <c r="H31" s="15">
        <v>4.7600000000000003E-2</v>
      </c>
      <c r="I31" s="20">
        <v>4.7600000000000003E-2</v>
      </c>
      <c r="J31" s="20">
        <v>1.4999999999999999E-2</v>
      </c>
      <c r="K31" s="37"/>
    </row>
    <row r="32" spans="1:13" s="15" customFormat="1" ht="18.75" customHeight="1" x14ac:dyDescent="0.25">
      <c r="A32" s="16" t="s">
        <v>65</v>
      </c>
      <c r="B32" s="17" t="s">
        <v>63</v>
      </c>
      <c r="C32" s="18" t="s">
        <v>64</v>
      </c>
      <c r="D32" s="19">
        <f t="shared" si="3"/>
        <v>1200.19</v>
      </c>
      <c r="E32" s="19">
        <f t="shared" si="4"/>
        <v>0.08</v>
      </c>
      <c r="F32" s="25">
        <f t="shared" si="2"/>
        <v>0.01</v>
      </c>
      <c r="G32" s="26">
        <v>7.89</v>
      </c>
      <c r="H32" s="15">
        <v>4.3E-3</v>
      </c>
      <c r="I32" s="20">
        <v>1.4999999999999999E-2</v>
      </c>
      <c r="J32" s="20">
        <v>0.158</v>
      </c>
      <c r="K32" s="37"/>
    </row>
    <row r="33" spans="1:13" s="15" customFormat="1" x14ac:dyDescent="0.25">
      <c r="A33" s="16" t="s">
        <v>104</v>
      </c>
      <c r="B33" s="17" t="s">
        <v>66</v>
      </c>
      <c r="C33" s="18" t="s">
        <v>67</v>
      </c>
      <c r="D33" s="19">
        <f t="shared" si="3"/>
        <v>4050.65</v>
      </c>
      <c r="E33" s="19">
        <f t="shared" si="4"/>
        <v>0.27</v>
      </c>
      <c r="F33" s="25">
        <f t="shared" si="2"/>
        <v>0.03</v>
      </c>
      <c r="G33" s="26">
        <v>7.89</v>
      </c>
      <c r="H33" s="15">
        <f>1-H28-H29-H30-H31-H32</f>
        <v>1.7500000000000002E-2</v>
      </c>
      <c r="I33" s="20">
        <v>0.05</v>
      </c>
      <c r="K33" s="37"/>
    </row>
    <row r="34" spans="1:13" s="15" customFormat="1" x14ac:dyDescent="0.25">
      <c r="A34" s="16" t="s">
        <v>105</v>
      </c>
      <c r="B34" s="17" t="s">
        <v>106</v>
      </c>
      <c r="C34" s="18" t="s">
        <v>101</v>
      </c>
      <c r="D34" s="19">
        <f t="shared" si="3"/>
        <v>39606.339999999997</v>
      </c>
      <c r="E34" s="19">
        <f t="shared" si="4"/>
        <v>2.64</v>
      </c>
      <c r="F34" s="25">
        <f t="shared" si="2"/>
        <v>0.33</v>
      </c>
      <c r="G34" s="26">
        <v>7.89</v>
      </c>
      <c r="H34" s="15">
        <v>4.7500000000000001E-2</v>
      </c>
      <c r="I34" s="20">
        <v>0.48</v>
      </c>
      <c r="K34" s="37"/>
    </row>
    <row r="35" spans="1:13" ht="54.75" customHeight="1" x14ac:dyDescent="0.25">
      <c r="A35" s="3">
        <v>5</v>
      </c>
      <c r="B35" s="31" t="s">
        <v>113</v>
      </c>
      <c r="C35" s="13" t="s">
        <v>114</v>
      </c>
      <c r="D35" s="14">
        <f>E35*12*D5</f>
        <v>1800.29</v>
      </c>
      <c r="E35" s="14">
        <v>0.06</v>
      </c>
      <c r="F35" s="12">
        <f>E35*12*2602.7</f>
        <v>1873.94</v>
      </c>
      <c r="G35" s="12">
        <f>D35-F35</f>
        <v>-73.650000000000006</v>
      </c>
      <c r="J35" s="12"/>
      <c r="M35" s="15"/>
    </row>
    <row r="36" spans="1:13" ht="29.25" customHeight="1" x14ac:dyDescent="0.25">
      <c r="A36" s="3">
        <v>6</v>
      </c>
      <c r="B36" s="31" t="s">
        <v>91</v>
      </c>
      <c r="C36" s="13" t="s">
        <v>85</v>
      </c>
      <c r="D36" s="11">
        <f>5273.6*12</f>
        <v>63283.199999999997</v>
      </c>
      <c r="E36" s="11">
        <v>2.11</v>
      </c>
      <c r="J36" s="12"/>
    </row>
    <row r="37" spans="1:13" ht="16.5" customHeight="1" x14ac:dyDescent="0.25">
      <c r="A37" s="3">
        <v>7</v>
      </c>
      <c r="B37" s="31" t="s">
        <v>84</v>
      </c>
      <c r="C37" s="13" t="s">
        <v>85</v>
      </c>
      <c r="D37" s="11">
        <v>29400</v>
      </c>
      <c r="E37" s="11">
        <f>D37/12/D5</f>
        <v>0.98</v>
      </c>
      <c r="J37" s="12"/>
    </row>
    <row r="38" spans="1:13" ht="32.25" customHeight="1" x14ac:dyDescent="0.25">
      <c r="A38" s="3">
        <v>8</v>
      </c>
      <c r="B38" s="31" t="s">
        <v>129</v>
      </c>
      <c r="C38" s="13" t="s">
        <v>130</v>
      </c>
      <c r="D38" s="11">
        <f>E38*12*D5</f>
        <v>96315.41</v>
      </c>
      <c r="E38" s="11">
        <f>1.03+2.18</f>
        <v>3.21</v>
      </c>
      <c r="I38" s="2">
        <f>3.65/1.13</f>
        <v>3.2300884955752198</v>
      </c>
      <c r="J38" s="12"/>
    </row>
    <row r="39" spans="1:13" ht="18" customHeight="1" x14ac:dyDescent="0.25">
      <c r="A39" s="3">
        <v>9</v>
      </c>
      <c r="B39" s="39" t="s">
        <v>72</v>
      </c>
      <c r="C39" s="33"/>
      <c r="D39" s="14">
        <f>E39*D5*12</f>
        <v>693110.88</v>
      </c>
      <c r="E39" s="14">
        <f>SUM(E35:E38,E20,E10:E12)</f>
        <v>23.1</v>
      </c>
      <c r="G39" s="12" t="e">
        <f>E10+#REF!+E11+E20+#REF!+#REF!</f>
        <v>#REF!</v>
      </c>
      <c r="I39" s="12"/>
      <c r="J39" s="12"/>
    </row>
    <row r="40" spans="1:13" ht="130.5" customHeight="1" x14ac:dyDescent="0.25">
      <c r="A40" s="3">
        <v>10</v>
      </c>
      <c r="B40" s="41" t="s">
        <v>126</v>
      </c>
      <c r="C40" s="53" t="s">
        <v>74</v>
      </c>
      <c r="D40" s="14">
        <f>E40*12*D5</f>
        <v>104116.66</v>
      </c>
      <c r="E40" s="14">
        <f>E39*0.15</f>
        <v>3.47</v>
      </c>
      <c r="F40" s="12">
        <f>E40*12*2602.7</f>
        <v>108376.43</v>
      </c>
      <c r="G40" s="12">
        <f>D40-F40</f>
        <v>-4259.7700000000004</v>
      </c>
      <c r="H40" s="2">
        <f>E40*12*2602.7</f>
        <v>108376.428</v>
      </c>
      <c r="I40" s="2">
        <v>19.07</v>
      </c>
      <c r="J40" s="12"/>
    </row>
    <row r="41" spans="1:13" x14ac:dyDescent="0.25">
      <c r="A41" s="3">
        <v>11</v>
      </c>
      <c r="B41" s="42" t="s">
        <v>107</v>
      </c>
      <c r="C41" s="43"/>
      <c r="D41" s="44">
        <f>E41*12*D5</f>
        <v>797227.54</v>
      </c>
      <c r="E41" s="44">
        <f>E39+E40</f>
        <v>26.57</v>
      </c>
      <c r="G41" s="12"/>
      <c r="I41" s="12"/>
      <c r="J41" s="12"/>
    </row>
    <row r="42" spans="1:13" x14ac:dyDescent="0.25">
      <c r="A42" s="85">
        <v>12</v>
      </c>
      <c r="B42" s="95" t="s">
        <v>79</v>
      </c>
      <c r="C42" s="96"/>
      <c r="D42" s="97">
        <f>D41</f>
        <v>797227.54</v>
      </c>
      <c r="E42" s="97">
        <f>E41</f>
        <v>26.57</v>
      </c>
      <c r="G42" s="12"/>
      <c r="I42" s="12"/>
      <c r="J42" s="12"/>
    </row>
    <row r="46" spans="1:13" x14ac:dyDescent="0.25">
      <c r="B46" s="52" t="s">
        <v>80</v>
      </c>
      <c r="C46" s="51" t="s">
        <v>81</v>
      </c>
    </row>
    <row r="47" spans="1:13" x14ac:dyDescent="0.25">
      <c r="B47" s="52"/>
      <c r="C47" s="52"/>
    </row>
    <row r="48" spans="1:13" x14ac:dyDescent="0.25">
      <c r="C48" s="109"/>
    </row>
    <row r="49" spans="2:3" x14ac:dyDescent="0.25">
      <c r="B49" s="52" t="s">
        <v>82</v>
      </c>
      <c r="C49" s="103" t="s">
        <v>83</v>
      </c>
    </row>
  </sheetData>
  <mergeCells count="9">
    <mergeCell ref="D1:F1"/>
    <mergeCell ref="B2:E2"/>
    <mergeCell ref="C3:E3"/>
    <mergeCell ref="C4:E4"/>
    <mergeCell ref="C5:C9"/>
    <mergeCell ref="D5:E5"/>
    <mergeCell ref="D6:E6"/>
    <mergeCell ref="D7:E7"/>
    <mergeCell ref="D8:E8"/>
  </mergeCells>
  <phoneticPr fontId="7" type="noConversion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zoomScale="60" zoomScaleNormal="78" workbookViewId="0">
      <pane xSplit="2" ySplit="7" topLeftCell="C23" activePane="bottomRight" state="frozen"/>
      <selection pane="topRight" activeCell="C1" sqref="C1"/>
      <selection pane="bottomLeft" activeCell="A10" sqref="A10"/>
      <selection pane="bottomRight" activeCell="A49" sqref="A49"/>
    </sheetView>
  </sheetViews>
  <sheetFormatPr defaultColWidth="10.28515625" defaultRowHeight="15.75" x14ac:dyDescent="0.25"/>
  <cols>
    <col min="1" max="1" width="6.85546875" style="1" customWidth="1"/>
    <col min="2" max="2" width="89.5703125" style="2" customWidth="1"/>
    <col min="3" max="3" width="75.42578125" style="2" customWidth="1"/>
    <col min="4" max="4" width="17" style="2" customWidth="1"/>
    <col min="5" max="5" width="15.42578125" style="2" customWidth="1"/>
    <col min="6" max="6" width="7.85546875" style="2" hidden="1" customWidth="1"/>
    <col min="7" max="7" width="7" style="2" hidden="1" customWidth="1"/>
    <col min="8" max="8" width="0" style="2" hidden="1" customWidth="1"/>
    <col min="9" max="9" width="10.5703125" style="2" bestFit="1" customWidth="1"/>
    <col min="10" max="10" width="10.28515625" style="2" customWidth="1"/>
    <col min="11" max="11" width="14.7109375" style="2" customWidth="1"/>
    <col min="12" max="16384" width="10.28515625" style="2"/>
  </cols>
  <sheetData>
    <row r="1" spans="1:13" ht="81" customHeight="1" x14ac:dyDescent="0.25">
      <c r="D1" s="199" t="s">
        <v>118</v>
      </c>
      <c r="E1" s="199"/>
      <c r="F1" s="200"/>
    </row>
    <row r="2" spans="1:13" x14ac:dyDescent="0.25">
      <c r="B2" s="201" t="s">
        <v>122</v>
      </c>
      <c r="C2" s="201"/>
      <c r="D2" s="201"/>
      <c r="E2" s="201"/>
    </row>
    <row r="3" spans="1:13" x14ac:dyDescent="0.25">
      <c r="A3" s="3"/>
      <c r="B3" s="4" t="s">
        <v>0</v>
      </c>
      <c r="C3" s="202" t="s">
        <v>87</v>
      </c>
      <c r="D3" s="203"/>
      <c r="E3" s="203"/>
      <c r="I3" s="5"/>
    </row>
    <row r="4" spans="1:13" ht="14.25" customHeight="1" x14ac:dyDescent="0.25">
      <c r="A4" s="3"/>
      <c r="B4" s="6" t="s">
        <v>3</v>
      </c>
      <c r="C4" s="205" t="s">
        <v>4</v>
      </c>
      <c r="D4" s="206">
        <f>SUM(D5:E6)</f>
        <v>7343.09</v>
      </c>
      <c r="E4" s="208"/>
      <c r="I4" s="5"/>
    </row>
    <row r="5" spans="1:13" x14ac:dyDescent="0.25">
      <c r="A5" s="3"/>
      <c r="B5" s="6" t="s">
        <v>6</v>
      </c>
      <c r="C5" s="205"/>
      <c r="D5" s="206">
        <v>7343.09</v>
      </c>
      <c r="E5" s="206"/>
    </row>
    <row r="6" spans="1:13" x14ac:dyDescent="0.25">
      <c r="A6" s="3"/>
      <c r="B6" s="6" t="s">
        <v>7</v>
      </c>
      <c r="C6" s="205"/>
      <c r="D6" s="206"/>
      <c r="E6" s="208"/>
    </row>
    <row r="7" spans="1:13" ht="78.75" x14ac:dyDescent="0.25">
      <c r="A7" s="3"/>
      <c r="B7" s="7" t="s">
        <v>8</v>
      </c>
      <c r="C7" s="205"/>
      <c r="D7" s="6" t="s">
        <v>9</v>
      </c>
      <c r="E7" s="8" t="s">
        <v>10</v>
      </c>
    </row>
    <row r="8" spans="1:13" ht="157.5" x14ac:dyDescent="0.25">
      <c r="A8" s="3">
        <v>1</v>
      </c>
      <c r="B8" s="9" t="s">
        <v>11</v>
      </c>
      <c r="C8" s="10" t="s">
        <v>131</v>
      </c>
      <c r="D8" s="11">
        <f>E8*12*D4</f>
        <v>722560.06</v>
      </c>
      <c r="E8" s="11">
        <v>8.1999999999999993</v>
      </c>
      <c r="F8" s="12">
        <f>E8*12*2602.7</f>
        <v>256105.68</v>
      </c>
      <c r="G8" s="12">
        <f>D8-F8</f>
        <v>466454.38</v>
      </c>
      <c r="J8" s="12"/>
    </row>
    <row r="9" spans="1:13" ht="31.5" x14ac:dyDescent="0.25">
      <c r="A9" s="3">
        <v>2</v>
      </c>
      <c r="B9" s="9" t="s">
        <v>12</v>
      </c>
      <c r="C9" s="13" t="s">
        <v>13</v>
      </c>
      <c r="D9" s="11">
        <f>E9*D4*12</f>
        <v>74899.520000000004</v>
      </c>
      <c r="E9" s="11">
        <v>0.85</v>
      </c>
      <c r="F9" s="12">
        <f>E9*12*2602.7</f>
        <v>26547.54</v>
      </c>
      <c r="G9" s="12">
        <f>D9-F9</f>
        <v>48351.98</v>
      </c>
      <c r="J9" s="12"/>
    </row>
    <row r="10" spans="1:13" x14ac:dyDescent="0.25">
      <c r="A10" s="3">
        <v>3</v>
      </c>
      <c r="B10" s="9" t="s">
        <v>14</v>
      </c>
      <c r="C10" s="9"/>
      <c r="D10" s="14">
        <f>E10*D4*12</f>
        <v>237034.95</v>
      </c>
      <c r="E10" s="14">
        <v>2.69</v>
      </c>
      <c r="F10" s="12">
        <f>E10*12*2602.7</f>
        <v>84015.16</v>
      </c>
      <c r="G10" s="12">
        <f>D10-F10</f>
        <v>153019.79</v>
      </c>
      <c r="I10" s="2">
        <f>D10/12/D4</f>
        <v>2.6900000544729799</v>
      </c>
      <c r="J10" s="12"/>
      <c r="L10" s="15"/>
      <c r="M10" s="15"/>
    </row>
    <row r="11" spans="1:13" s="15" customFormat="1" x14ac:dyDescent="0.25">
      <c r="A11" s="16" t="s">
        <v>15</v>
      </c>
      <c r="B11" s="17" t="s">
        <v>16</v>
      </c>
      <c r="C11" s="18" t="s">
        <v>17</v>
      </c>
      <c r="D11" s="19">
        <f t="shared" ref="D11:D17" si="0">E11*12*$D$4</f>
        <v>85473.57</v>
      </c>
      <c r="E11" s="19">
        <f t="shared" ref="E11:E17" si="1">$E$10*I11</f>
        <v>0.97</v>
      </c>
      <c r="I11" s="20">
        <v>0.35909999999999997</v>
      </c>
    </row>
    <row r="12" spans="1:13" s="15" customFormat="1" x14ac:dyDescent="0.25">
      <c r="A12" s="16" t="s">
        <v>18</v>
      </c>
      <c r="B12" s="17" t="s">
        <v>19</v>
      </c>
      <c r="C12" s="18" t="s">
        <v>20</v>
      </c>
      <c r="D12" s="19">
        <f t="shared" si="0"/>
        <v>59919.61</v>
      </c>
      <c r="E12" s="19">
        <f t="shared" si="1"/>
        <v>0.68</v>
      </c>
      <c r="I12" s="20">
        <v>0.25180000000000002</v>
      </c>
    </row>
    <row r="13" spans="1:13" s="15" customFormat="1" x14ac:dyDescent="0.25">
      <c r="A13" s="21" t="s">
        <v>21</v>
      </c>
      <c r="B13" s="17" t="s">
        <v>22</v>
      </c>
      <c r="C13" s="18" t="s">
        <v>17</v>
      </c>
      <c r="D13" s="19">
        <f t="shared" si="0"/>
        <v>7049.37</v>
      </c>
      <c r="E13" s="19">
        <f t="shared" si="1"/>
        <v>0.08</v>
      </c>
      <c r="I13" s="20">
        <v>0.03</v>
      </c>
    </row>
    <row r="14" spans="1:13" s="15" customFormat="1" x14ac:dyDescent="0.25">
      <c r="A14" s="16" t="s">
        <v>23</v>
      </c>
      <c r="B14" s="17" t="s">
        <v>24</v>
      </c>
      <c r="C14" s="18" t="s">
        <v>25</v>
      </c>
      <c r="D14" s="19">
        <f t="shared" si="0"/>
        <v>47583.22</v>
      </c>
      <c r="E14" s="19">
        <f t="shared" si="1"/>
        <v>0.54</v>
      </c>
      <c r="I14" s="20">
        <f>0.2314-0.0298</f>
        <v>0.2016</v>
      </c>
    </row>
    <row r="15" spans="1:13" s="15" customFormat="1" x14ac:dyDescent="0.25">
      <c r="A15" s="16" t="s">
        <v>26</v>
      </c>
      <c r="B15" s="17" t="s">
        <v>27</v>
      </c>
      <c r="C15" s="18" t="s">
        <v>17</v>
      </c>
      <c r="D15" s="19">
        <f t="shared" si="0"/>
        <v>1762.34</v>
      </c>
      <c r="E15" s="19">
        <f t="shared" si="1"/>
        <v>0.02</v>
      </c>
      <c r="I15" s="20">
        <v>6.8999999999999999E-3</v>
      </c>
    </row>
    <row r="16" spans="1:13" s="15" customFormat="1" ht="47.25" x14ac:dyDescent="0.25">
      <c r="A16" s="16" t="s">
        <v>28</v>
      </c>
      <c r="B16" s="17" t="s">
        <v>29</v>
      </c>
      <c r="C16" s="18" t="s">
        <v>30</v>
      </c>
      <c r="D16" s="19">
        <f t="shared" si="0"/>
        <v>34365.660000000003</v>
      </c>
      <c r="E16" s="19">
        <f t="shared" si="1"/>
        <v>0.39</v>
      </c>
      <c r="I16" s="20">
        <v>0.14369999999999999</v>
      </c>
    </row>
    <row r="17" spans="1:13" s="15" customFormat="1" x14ac:dyDescent="0.25">
      <c r="A17" s="16" t="s">
        <v>31</v>
      </c>
      <c r="B17" s="17" t="s">
        <v>32</v>
      </c>
      <c r="C17" s="18" t="s">
        <v>33</v>
      </c>
      <c r="D17" s="19">
        <f t="shared" si="0"/>
        <v>1762.34</v>
      </c>
      <c r="E17" s="19">
        <f t="shared" si="1"/>
        <v>0.02</v>
      </c>
      <c r="I17" s="20">
        <v>6.8999999999999999E-3</v>
      </c>
    </row>
    <row r="18" spans="1:13" x14ac:dyDescent="0.25">
      <c r="A18" s="3">
        <v>4</v>
      </c>
      <c r="B18" s="9" t="s">
        <v>34</v>
      </c>
      <c r="C18" s="9"/>
      <c r="D18" s="14">
        <f>SUM(D24,D19)</f>
        <v>346740.7</v>
      </c>
      <c r="E18" s="14">
        <f>4.05-0.12</f>
        <v>3.93</v>
      </c>
      <c r="F18" s="12" t="s">
        <v>35</v>
      </c>
      <c r="G18" s="12"/>
      <c r="I18" s="22">
        <f>D18/12/D4</f>
        <v>3.9350000000000001</v>
      </c>
      <c r="J18" s="12"/>
      <c r="M18" s="15"/>
    </row>
    <row r="19" spans="1:13" s="15" customFormat="1" x14ac:dyDescent="0.25">
      <c r="A19" s="16"/>
      <c r="B19" s="23" t="s">
        <v>36</v>
      </c>
      <c r="C19" s="18"/>
      <c r="D19" s="24">
        <f>SUM(D20:D23)</f>
        <v>165660.10999999999</v>
      </c>
      <c r="E19" s="24">
        <f>E18*I19</f>
        <v>3.75</v>
      </c>
      <c r="F19" s="25">
        <f>E19/E18</f>
        <v>0.95</v>
      </c>
      <c r="G19" s="26">
        <v>5.72</v>
      </c>
      <c r="I19" s="27">
        <v>0.95509999999999995</v>
      </c>
    </row>
    <row r="20" spans="1:13" s="15" customFormat="1" ht="31.5" x14ac:dyDescent="0.25">
      <c r="A20" s="21" t="s">
        <v>37</v>
      </c>
      <c r="B20" s="28" t="s">
        <v>38</v>
      </c>
      <c r="C20" s="18" t="s">
        <v>39</v>
      </c>
      <c r="D20" s="19">
        <f>E20*6*$D$4</f>
        <v>62563.13</v>
      </c>
      <c r="E20" s="19">
        <f>$E$19*I20</f>
        <v>1.42</v>
      </c>
      <c r="F20" s="25">
        <f t="shared" ref="F20:F30" si="2">E20/G20</f>
        <v>0.4</v>
      </c>
      <c r="G20" s="26">
        <v>3.55</v>
      </c>
      <c r="H20" s="15">
        <v>0.44</v>
      </c>
      <c r="I20" s="20">
        <v>0.379</v>
      </c>
    </row>
    <row r="21" spans="1:13" s="15" customFormat="1" x14ac:dyDescent="0.25">
      <c r="A21" s="16" t="s">
        <v>40</v>
      </c>
      <c r="B21" s="28" t="s">
        <v>41</v>
      </c>
      <c r="C21" s="18" t="s">
        <v>42</v>
      </c>
      <c r="D21" s="19">
        <f>E21*6*$D$4</f>
        <v>13217.56</v>
      </c>
      <c r="E21" s="19">
        <f>$E$19*I21</f>
        <v>0.3</v>
      </c>
      <c r="F21" s="25">
        <f t="shared" si="2"/>
        <v>0.08</v>
      </c>
      <c r="G21" s="26">
        <v>3.55</v>
      </c>
      <c r="H21" s="15">
        <v>8.7999999999999995E-2</v>
      </c>
      <c r="I21" s="20">
        <v>0.08</v>
      </c>
    </row>
    <row r="22" spans="1:13" s="15" customFormat="1" x14ac:dyDescent="0.25">
      <c r="A22" s="16" t="s">
        <v>43</v>
      </c>
      <c r="B22" s="28" t="s">
        <v>44</v>
      </c>
      <c r="C22" s="18" t="s">
        <v>45</v>
      </c>
      <c r="D22" s="19">
        <f>E22*6*$D$4</f>
        <v>61241.37</v>
      </c>
      <c r="E22" s="19">
        <f>$E$19*I22</f>
        <v>1.39</v>
      </c>
      <c r="F22" s="25">
        <f t="shared" si="2"/>
        <v>0.39</v>
      </c>
      <c r="G22" s="26">
        <v>3.55</v>
      </c>
      <c r="H22" s="15">
        <v>0.46010000000000001</v>
      </c>
      <c r="I22" s="20">
        <v>0.37</v>
      </c>
    </row>
    <row r="23" spans="1:13" s="15" customFormat="1" x14ac:dyDescent="0.25">
      <c r="A23" s="16" t="s">
        <v>46</v>
      </c>
      <c r="B23" s="28" t="s">
        <v>47</v>
      </c>
      <c r="C23" s="18" t="s">
        <v>48</v>
      </c>
      <c r="D23" s="19">
        <f>E23*6*$D$4</f>
        <v>28638.05</v>
      </c>
      <c r="E23" s="19">
        <f>$E$19*I23</f>
        <v>0.65</v>
      </c>
      <c r="F23" s="25">
        <f t="shared" si="2"/>
        <v>0.18</v>
      </c>
      <c r="G23" s="26">
        <v>3.55</v>
      </c>
      <c r="H23" s="15">
        <v>8.0000000000000004E-4</v>
      </c>
      <c r="I23" s="20">
        <v>0.17199999999999999</v>
      </c>
    </row>
    <row r="24" spans="1:13" s="15" customFormat="1" x14ac:dyDescent="0.25">
      <c r="A24" s="16"/>
      <c r="B24" s="23" t="s">
        <v>49</v>
      </c>
      <c r="C24" s="18"/>
      <c r="D24" s="24">
        <f>SUM(D25:D30)</f>
        <v>181080.59</v>
      </c>
      <c r="E24" s="24">
        <f>I24*E18</f>
        <v>4.1100000000000003</v>
      </c>
      <c r="F24" s="29">
        <f t="shared" si="2"/>
        <v>0.71853146853146899</v>
      </c>
      <c r="G24" s="26">
        <v>5.72</v>
      </c>
      <c r="I24" s="27">
        <f>2-I19</f>
        <v>1.0448999999999999</v>
      </c>
      <c r="J24" s="30"/>
    </row>
    <row r="25" spans="1:13" s="15" customFormat="1" x14ac:dyDescent="0.25">
      <c r="A25" s="16" t="s">
        <v>50</v>
      </c>
      <c r="B25" s="17" t="s">
        <v>51</v>
      </c>
      <c r="C25" s="18" t="s">
        <v>52</v>
      </c>
      <c r="D25" s="19">
        <f t="shared" ref="D25:D30" si="3">E25*6*$D$4</f>
        <v>88117.08</v>
      </c>
      <c r="E25" s="19">
        <f t="shared" ref="E25:E30" si="4">$E$24*I25</f>
        <v>2</v>
      </c>
      <c r="F25" s="25">
        <f t="shared" si="2"/>
        <v>0.25</v>
      </c>
      <c r="G25" s="26">
        <v>7.89</v>
      </c>
      <c r="H25" s="15">
        <v>0.45450000000000002</v>
      </c>
      <c r="I25" s="20">
        <v>0.48699999999999999</v>
      </c>
    </row>
    <row r="26" spans="1:13" s="15" customFormat="1" x14ac:dyDescent="0.25">
      <c r="A26" s="16" t="s">
        <v>53</v>
      </c>
      <c r="B26" s="17" t="s">
        <v>54</v>
      </c>
      <c r="C26" s="18" t="s">
        <v>55</v>
      </c>
      <c r="D26" s="19">
        <f t="shared" si="3"/>
        <v>37890.339999999997</v>
      </c>
      <c r="E26" s="19">
        <f t="shared" si="4"/>
        <v>0.86</v>
      </c>
      <c r="F26" s="25">
        <f t="shared" si="2"/>
        <v>0.11</v>
      </c>
      <c r="G26" s="26">
        <v>7.89</v>
      </c>
      <c r="H26" s="15">
        <v>0.4632</v>
      </c>
      <c r="I26" s="20">
        <v>0.21</v>
      </c>
      <c r="L26" s="2"/>
      <c r="M26" s="2"/>
    </row>
    <row r="27" spans="1:13" s="15" customFormat="1" ht="31.5" x14ac:dyDescent="0.25">
      <c r="A27" s="21" t="s">
        <v>56</v>
      </c>
      <c r="B27" s="17" t="s">
        <v>57</v>
      </c>
      <c r="C27" s="18" t="s">
        <v>58</v>
      </c>
      <c r="D27" s="19">
        <f t="shared" si="3"/>
        <v>14539.32</v>
      </c>
      <c r="E27" s="19">
        <f t="shared" si="4"/>
        <v>0.33</v>
      </c>
      <c r="F27" s="25">
        <f t="shared" si="2"/>
        <v>0.04</v>
      </c>
      <c r="G27" s="26">
        <v>7.89</v>
      </c>
      <c r="H27" s="15">
        <v>1.29E-2</v>
      </c>
      <c r="I27" s="20">
        <v>0.08</v>
      </c>
    </row>
    <row r="28" spans="1:13" s="15" customFormat="1" x14ac:dyDescent="0.25">
      <c r="A28" s="16" t="s">
        <v>102</v>
      </c>
      <c r="B28" s="17" t="s">
        <v>60</v>
      </c>
      <c r="C28" s="18" t="s">
        <v>61</v>
      </c>
      <c r="D28" s="19">
        <f t="shared" si="3"/>
        <v>9252.2900000000009</v>
      </c>
      <c r="E28" s="19">
        <f t="shared" si="4"/>
        <v>0.21</v>
      </c>
      <c r="F28" s="25">
        <f t="shared" si="2"/>
        <v>0.03</v>
      </c>
      <c r="G28" s="26">
        <v>7.89</v>
      </c>
      <c r="H28" s="15">
        <v>4.7600000000000003E-2</v>
      </c>
      <c r="I28" s="20">
        <v>0.05</v>
      </c>
    </row>
    <row r="29" spans="1:13" s="15" customFormat="1" x14ac:dyDescent="0.25">
      <c r="A29" s="16" t="s">
        <v>103</v>
      </c>
      <c r="B29" s="17" t="s">
        <v>63</v>
      </c>
      <c r="C29" s="18" t="s">
        <v>64</v>
      </c>
      <c r="D29" s="19">
        <f t="shared" si="3"/>
        <v>2643.51</v>
      </c>
      <c r="E29" s="19">
        <f t="shared" si="4"/>
        <v>0.06</v>
      </c>
      <c r="F29" s="25">
        <f t="shared" si="2"/>
        <v>0.01</v>
      </c>
      <c r="G29" s="26">
        <v>7.89</v>
      </c>
      <c r="H29" s="15">
        <v>4.3E-3</v>
      </c>
      <c r="I29" s="20">
        <v>1.4999999999999999E-2</v>
      </c>
    </row>
    <row r="30" spans="1:13" s="15" customFormat="1" x14ac:dyDescent="0.25">
      <c r="A30" s="16" t="s">
        <v>65</v>
      </c>
      <c r="B30" s="17" t="s">
        <v>66</v>
      </c>
      <c r="C30" s="18" t="s">
        <v>67</v>
      </c>
      <c r="D30" s="19">
        <f t="shared" si="3"/>
        <v>28638.05</v>
      </c>
      <c r="E30" s="19">
        <f t="shared" si="4"/>
        <v>0.65</v>
      </c>
      <c r="F30" s="25">
        <f t="shared" si="2"/>
        <v>0.08</v>
      </c>
      <c r="G30" s="26">
        <v>7.89</v>
      </c>
      <c r="H30" s="15">
        <f>1-H25-H26-H27-H28-H29</f>
        <v>1.7500000000000002E-2</v>
      </c>
      <c r="I30" s="20">
        <v>0.158</v>
      </c>
    </row>
    <row r="31" spans="1:13" s="15" customFormat="1" x14ac:dyDescent="0.25">
      <c r="A31" s="16">
        <v>5</v>
      </c>
      <c r="B31" s="154" t="s">
        <v>117</v>
      </c>
      <c r="C31" s="13" t="s">
        <v>17</v>
      </c>
      <c r="D31" s="156">
        <f>E31*12*$D$4</f>
        <v>10574.05</v>
      </c>
      <c r="E31" s="155">
        <v>0.12</v>
      </c>
      <c r="F31" s="151"/>
      <c r="G31" s="152"/>
      <c r="I31" s="20"/>
      <c r="J31" s="148">
        <f t="shared" ref="J31" si="5">E31*$D$4*12</f>
        <v>10574.05</v>
      </c>
      <c r="K31" s="148">
        <f t="shared" ref="K31" si="6">J31-D31</f>
        <v>0</v>
      </c>
    </row>
    <row r="32" spans="1:13" ht="64.5" customHeight="1" x14ac:dyDescent="0.25">
      <c r="A32" s="3">
        <v>6</v>
      </c>
      <c r="B32" s="31" t="s">
        <v>113</v>
      </c>
      <c r="C32" s="13" t="s">
        <v>114</v>
      </c>
      <c r="D32" s="14">
        <v>5688</v>
      </c>
      <c r="E32" s="14">
        <v>0.06</v>
      </c>
      <c r="F32" s="12">
        <f>E32*12*2602.7</f>
        <v>1873.94</v>
      </c>
      <c r="G32" s="12">
        <f>D32-F32</f>
        <v>3814.06</v>
      </c>
      <c r="I32" s="2">
        <f>D32/12/D4</f>
        <v>6.4550482153970606E-2</v>
      </c>
      <c r="J32" s="12"/>
      <c r="M32" s="15"/>
    </row>
    <row r="33" spans="1:10" x14ac:dyDescent="0.25">
      <c r="A33" s="32">
        <v>7</v>
      </c>
      <c r="B33" s="31" t="s">
        <v>68</v>
      </c>
      <c r="C33" s="13" t="s">
        <v>17</v>
      </c>
      <c r="D33" s="14">
        <f>SUM(D34:D35)</f>
        <v>99572.3</v>
      </c>
      <c r="E33" s="14">
        <v>1.1299999999999999</v>
      </c>
      <c r="I33" s="2">
        <f>D33/12/D4</f>
        <v>1.1299999954605899</v>
      </c>
      <c r="J33" s="12"/>
    </row>
    <row r="34" spans="1:10" ht="31.5" x14ac:dyDescent="0.25">
      <c r="A34" s="16" t="s">
        <v>115</v>
      </c>
      <c r="B34" s="34" t="s">
        <v>69</v>
      </c>
      <c r="C34" s="35" t="s">
        <v>17</v>
      </c>
      <c r="D34" s="36">
        <f>E34*12*$D$4</f>
        <v>74018.350000000006</v>
      </c>
      <c r="E34" s="36">
        <f>I34*$E$33</f>
        <v>0.84</v>
      </c>
      <c r="I34" s="37">
        <v>0.74180000000000001</v>
      </c>
    </row>
    <row r="35" spans="1:10" x14ac:dyDescent="0.25">
      <c r="A35" s="16" t="s">
        <v>116</v>
      </c>
      <c r="B35" s="38" t="s">
        <v>70</v>
      </c>
      <c r="C35" s="35" t="s">
        <v>64</v>
      </c>
      <c r="D35" s="36">
        <f>E35*12*$D$4</f>
        <v>25553.95</v>
      </c>
      <c r="E35" s="36">
        <f>I35*$E$33</f>
        <v>0.28999999999999998</v>
      </c>
      <c r="I35" s="37">
        <v>0.25819999999999999</v>
      </c>
    </row>
    <row r="36" spans="1:10" s="15" customFormat="1" ht="31.5" x14ac:dyDescent="0.25">
      <c r="A36" s="32">
        <v>8</v>
      </c>
      <c r="B36" s="31" t="s">
        <v>71</v>
      </c>
      <c r="C36" s="13" t="s">
        <v>85</v>
      </c>
      <c r="D36" s="11">
        <f>5273.6*4*12</f>
        <v>253132.79999999999</v>
      </c>
      <c r="E36" s="11">
        <v>2.87</v>
      </c>
      <c r="J36" s="40"/>
    </row>
    <row r="37" spans="1:10" s="15" customFormat="1" ht="31.5" x14ac:dyDescent="0.25">
      <c r="A37" s="32">
        <v>9</v>
      </c>
      <c r="B37" s="31" t="s">
        <v>84</v>
      </c>
      <c r="C37" s="13" t="s">
        <v>85</v>
      </c>
      <c r="D37" s="11">
        <v>29400</v>
      </c>
      <c r="E37" s="11">
        <f>D37/12/D4</f>
        <v>0.33</v>
      </c>
      <c r="J37" s="40"/>
    </row>
    <row r="38" spans="1:10" s="15" customFormat="1" ht="31.5" x14ac:dyDescent="0.25">
      <c r="A38" s="32">
        <v>10</v>
      </c>
      <c r="B38" s="31" t="s">
        <v>86</v>
      </c>
      <c r="C38" s="13" t="s">
        <v>85</v>
      </c>
      <c r="D38" s="11">
        <v>38399.64</v>
      </c>
      <c r="E38" s="11">
        <f>D38/12/D4</f>
        <v>0.44</v>
      </c>
      <c r="J38" s="40"/>
    </row>
    <row r="39" spans="1:10" s="15" customFormat="1" ht="31.5" x14ac:dyDescent="0.25">
      <c r="A39" s="32">
        <v>11</v>
      </c>
      <c r="B39" s="31" t="s">
        <v>88</v>
      </c>
      <c r="C39" s="13" t="s">
        <v>85</v>
      </c>
      <c r="D39" s="11">
        <f>2000*12</f>
        <v>24000</v>
      </c>
      <c r="E39" s="11">
        <f>D39/12/D4</f>
        <v>0.27</v>
      </c>
      <c r="J39" s="40">
        <f>2.12+1.03</f>
        <v>3.15</v>
      </c>
    </row>
    <row r="40" spans="1:10" s="15" customFormat="1" x14ac:dyDescent="0.25">
      <c r="A40" s="32">
        <v>12</v>
      </c>
      <c r="B40" s="31" t="s">
        <v>129</v>
      </c>
      <c r="C40" s="13" t="s">
        <v>17</v>
      </c>
      <c r="D40" s="11">
        <f>E40*12*D4</f>
        <v>277568.8</v>
      </c>
      <c r="E40" s="11">
        <f>1.03+2.12</f>
        <v>3.15</v>
      </c>
      <c r="J40" s="40"/>
    </row>
    <row r="41" spans="1:10" x14ac:dyDescent="0.25">
      <c r="A41" s="32">
        <v>13</v>
      </c>
      <c r="B41" s="39" t="s">
        <v>72</v>
      </c>
      <c r="C41" s="33"/>
      <c r="D41" s="14">
        <f>SUM(D36:D40,D31:D33,D18,D8:D10)</f>
        <v>2119570.8199999998</v>
      </c>
      <c r="E41" s="14">
        <f>SUM(E36:E40,E31:E33,E18,E8:E10)</f>
        <v>24.04</v>
      </c>
      <c r="G41" s="12" t="e">
        <f>E8+#REF!+E9+E18+#REF!+#REF!</f>
        <v>#REF!</v>
      </c>
      <c r="I41" s="128">
        <f>D41/12/D4</f>
        <v>24.053999999999998</v>
      </c>
      <c r="J41" s="12"/>
    </row>
    <row r="42" spans="1:10" ht="133.5" customHeight="1" x14ac:dyDescent="0.25">
      <c r="A42" s="32">
        <v>14</v>
      </c>
      <c r="B42" s="41" t="s">
        <v>73</v>
      </c>
      <c r="C42" s="53" t="s">
        <v>74</v>
      </c>
      <c r="D42" s="14">
        <f>E42*12*D4</f>
        <v>318102.65999999997</v>
      </c>
      <c r="E42" s="14">
        <f>E41*0.15</f>
        <v>3.61</v>
      </c>
      <c r="F42" s="12">
        <f>E42*12*2602.7</f>
        <v>112748.96</v>
      </c>
      <c r="G42" s="12">
        <f>D42-F42</f>
        <v>205353.7</v>
      </c>
      <c r="H42" s="2">
        <f>E42*12*2602.7</f>
        <v>112748.96400000001</v>
      </c>
      <c r="J42" s="12"/>
    </row>
    <row r="43" spans="1:10" x14ac:dyDescent="0.25">
      <c r="A43" s="32">
        <v>15</v>
      </c>
      <c r="B43" s="42" t="s">
        <v>75</v>
      </c>
      <c r="C43" s="43"/>
      <c r="D43" s="44">
        <f>D41+D42</f>
        <v>2437673.48</v>
      </c>
      <c r="E43" s="44">
        <f>E41+E42</f>
        <v>27.65</v>
      </c>
      <c r="G43" s="12"/>
      <c r="I43" s="12">
        <f>D43/12/D4</f>
        <v>27.66</v>
      </c>
      <c r="J43" s="12"/>
    </row>
    <row r="44" spans="1:10" hidden="1" x14ac:dyDescent="0.25">
      <c r="A44" s="32">
        <v>16</v>
      </c>
      <c r="B44" s="172" t="s">
        <v>76</v>
      </c>
      <c r="C44" s="173"/>
      <c r="D44" s="174"/>
      <c r="E44" s="174"/>
      <c r="I44" s="2">
        <v>19.37</v>
      </c>
    </row>
    <row r="45" spans="1:10" hidden="1" x14ac:dyDescent="0.25">
      <c r="A45" s="32">
        <v>17</v>
      </c>
      <c r="B45" s="45"/>
      <c r="C45" s="32"/>
      <c r="D45" s="46"/>
      <c r="E45" s="46">
        <f>D45/10/$D$4</f>
        <v>0</v>
      </c>
    </row>
    <row r="46" spans="1:10" ht="126" hidden="1" x14ac:dyDescent="0.25">
      <c r="A46" s="32">
        <v>17</v>
      </c>
      <c r="B46" s="48" t="s">
        <v>112</v>
      </c>
      <c r="C46" s="54" t="s">
        <v>77</v>
      </c>
      <c r="D46" s="49"/>
      <c r="E46" s="50">
        <f>D46/10/$D$4</f>
        <v>0</v>
      </c>
    </row>
    <row r="47" spans="1:10" hidden="1" x14ac:dyDescent="0.25">
      <c r="A47" s="32">
        <v>18</v>
      </c>
      <c r="B47" s="42" t="s">
        <v>78</v>
      </c>
      <c r="C47" s="43"/>
      <c r="D47" s="44">
        <f>SUM(D45:D46)</f>
        <v>0</v>
      </c>
      <c r="E47" s="44">
        <f>SUM(E45:E46)</f>
        <v>0</v>
      </c>
    </row>
    <row r="48" spans="1:10" x14ac:dyDescent="0.25">
      <c r="A48" s="175">
        <v>16</v>
      </c>
      <c r="B48" s="176" t="s">
        <v>79</v>
      </c>
      <c r="C48" s="177"/>
      <c r="D48" s="178">
        <f>D43+D47</f>
        <v>2437673.48</v>
      </c>
      <c r="E48" s="178">
        <f>E43+E47</f>
        <v>27.65</v>
      </c>
      <c r="I48" s="22">
        <f>E43/I44</f>
        <v>1.4275</v>
      </c>
    </row>
    <row r="49" spans="1:13" ht="24" customHeight="1" x14ac:dyDescent="0.25">
      <c r="A49" s="179"/>
      <c r="B49" s="180"/>
      <c r="C49" s="181"/>
      <c r="D49" s="182"/>
      <c r="E49" s="182"/>
      <c r="F49" s="12">
        <f>E49*12*2602.7</f>
        <v>0</v>
      </c>
      <c r="G49" s="12">
        <f>D49-F49</f>
        <v>0</v>
      </c>
      <c r="H49" s="12" t="e">
        <f>D43+D44+D45+D46+D47+D48+#REF!</f>
        <v>#REF!</v>
      </c>
      <c r="J49" s="149"/>
      <c r="K49" s="150"/>
      <c r="M49" s="15"/>
    </row>
    <row r="50" spans="1:13" x14ac:dyDescent="0.25">
      <c r="A50" s="183"/>
      <c r="B50" s="184"/>
      <c r="C50" s="185"/>
      <c r="D50" s="186"/>
      <c r="E50" s="186"/>
      <c r="J50" s="149"/>
      <c r="K50" s="150"/>
    </row>
    <row r="52" spans="1:13" x14ac:dyDescent="0.25">
      <c r="B52" s="52" t="s">
        <v>80</v>
      </c>
      <c r="C52" s="51" t="s">
        <v>81</v>
      </c>
    </row>
    <row r="53" spans="1:13" x14ac:dyDescent="0.25">
      <c r="B53" s="52"/>
      <c r="C53" s="52"/>
    </row>
    <row r="54" spans="1:13" x14ac:dyDescent="0.25">
      <c r="B54" s="52" t="s">
        <v>82</v>
      </c>
      <c r="C54" s="51" t="s">
        <v>83</v>
      </c>
    </row>
  </sheetData>
  <mergeCells count="7">
    <mergeCell ref="D1:F1"/>
    <mergeCell ref="C4:C7"/>
    <mergeCell ref="D4:E4"/>
    <mergeCell ref="D5:E5"/>
    <mergeCell ref="D6:E6"/>
    <mergeCell ref="B2:E2"/>
    <mergeCell ref="C3:E3"/>
  </mergeCells>
  <phoneticPr fontId="7" type="noConversion"/>
  <pageMargins left="0.23622047244094491" right="0.23622047244094491" top="0.22" bottom="0.16" header="0.31496062992125984" footer="0.16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topLeftCell="A23" zoomScale="60" zoomScaleNormal="62" workbookViewId="0">
      <selection activeCell="B40" sqref="B40"/>
    </sheetView>
  </sheetViews>
  <sheetFormatPr defaultColWidth="10.28515625" defaultRowHeight="15.75" x14ac:dyDescent="0.25"/>
  <cols>
    <col min="1" max="1" width="8.5703125" style="1" customWidth="1"/>
    <col min="2" max="2" width="93.42578125" style="2" customWidth="1"/>
    <col min="3" max="3" width="75.42578125" style="2" customWidth="1"/>
    <col min="4" max="4" width="17" style="2" customWidth="1"/>
    <col min="5" max="5" width="18.28515625" style="2" customWidth="1"/>
    <col min="6" max="6" width="7.85546875" style="2" hidden="1" customWidth="1"/>
    <col min="7" max="7" width="7" style="2" hidden="1" customWidth="1"/>
    <col min="8" max="8" width="0" style="2" hidden="1" customWidth="1"/>
    <col min="9" max="9" width="10.5703125" style="2" bestFit="1" customWidth="1"/>
    <col min="10" max="10" width="10.28515625" style="2" customWidth="1"/>
    <col min="11" max="11" width="13.28515625" style="105" customWidth="1"/>
    <col min="12" max="16384" width="10.28515625" style="2"/>
  </cols>
  <sheetData>
    <row r="1" spans="1:13" ht="92.25" customHeight="1" x14ac:dyDescent="0.25">
      <c r="D1" s="199" t="s">
        <v>118</v>
      </c>
      <c r="E1" s="199"/>
      <c r="F1" s="200"/>
    </row>
    <row r="2" spans="1:13" ht="42.75" customHeight="1" x14ac:dyDescent="0.25">
      <c r="B2" s="201" t="s">
        <v>123</v>
      </c>
      <c r="C2" s="201"/>
      <c r="D2" s="201"/>
      <c r="E2" s="201"/>
    </row>
    <row r="3" spans="1:13" ht="19.5" customHeight="1" x14ac:dyDescent="0.25">
      <c r="A3" s="3"/>
      <c r="B3" s="4" t="s">
        <v>0</v>
      </c>
      <c r="C3" s="202" t="s">
        <v>108</v>
      </c>
      <c r="D3" s="203"/>
      <c r="E3" s="203"/>
      <c r="I3" s="5"/>
    </row>
    <row r="4" spans="1:13" ht="51.75" hidden="1" customHeight="1" x14ac:dyDescent="0.25">
      <c r="A4" s="3"/>
      <c r="B4" s="4" t="s">
        <v>1</v>
      </c>
      <c r="C4" s="204" t="s">
        <v>2</v>
      </c>
      <c r="D4" s="203"/>
      <c r="E4" s="203"/>
    </row>
    <row r="5" spans="1:13" ht="21" customHeight="1" x14ac:dyDescent="0.25">
      <c r="A5" s="3"/>
      <c r="B5" s="6" t="s">
        <v>3</v>
      </c>
      <c r="C5" s="205" t="s">
        <v>4</v>
      </c>
      <c r="D5" s="206">
        <f>SUM(D7:E8)</f>
        <v>7300.6</v>
      </c>
      <c r="E5" s="207"/>
      <c r="I5" s="5"/>
    </row>
    <row r="6" spans="1:13" ht="14.25" hidden="1" customHeight="1" x14ac:dyDescent="0.25">
      <c r="A6" s="3"/>
      <c r="B6" s="6" t="s">
        <v>5</v>
      </c>
      <c r="C6" s="205"/>
      <c r="D6" s="204">
        <v>3048.1</v>
      </c>
      <c r="E6" s="207"/>
    </row>
    <row r="7" spans="1:13" x14ac:dyDescent="0.25">
      <c r="A7" s="3"/>
      <c r="B7" s="6" t="s">
        <v>6</v>
      </c>
      <c r="C7" s="205"/>
      <c r="D7" s="206">
        <v>7300.6</v>
      </c>
      <c r="E7" s="206"/>
    </row>
    <row r="8" spans="1:13" x14ac:dyDescent="0.25">
      <c r="A8" s="3"/>
      <c r="B8" s="6" t="s">
        <v>7</v>
      </c>
      <c r="C8" s="205"/>
      <c r="D8" s="206">
        <v>0</v>
      </c>
      <c r="E8" s="208"/>
    </row>
    <row r="9" spans="1:13" ht="54" customHeight="1" x14ac:dyDescent="0.25">
      <c r="A9" s="3"/>
      <c r="B9" s="7" t="s">
        <v>8</v>
      </c>
      <c r="C9" s="205"/>
      <c r="D9" s="6" t="s">
        <v>9</v>
      </c>
      <c r="E9" s="8" t="s">
        <v>10</v>
      </c>
    </row>
    <row r="10" spans="1:13" ht="196.5" customHeight="1" x14ac:dyDescent="0.25">
      <c r="A10" s="3">
        <v>1</v>
      </c>
      <c r="B10" s="9" t="s">
        <v>11</v>
      </c>
      <c r="C10" s="10" t="s">
        <v>131</v>
      </c>
      <c r="D10" s="11">
        <f>E10*12*D5</f>
        <v>720131.18</v>
      </c>
      <c r="E10" s="11">
        <v>8.2200000000000006</v>
      </c>
      <c r="F10" s="12">
        <f>E10*12*2602.7</f>
        <v>256730.33</v>
      </c>
      <c r="G10" s="12">
        <f>D10-F10</f>
        <v>463400.85</v>
      </c>
      <c r="J10" s="12"/>
      <c r="K10" s="105">
        <f>E10*12*$D$5</f>
        <v>720131.18</v>
      </c>
    </row>
    <row r="11" spans="1:13" ht="33.75" customHeight="1" x14ac:dyDescent="0.25">
      <c r="A11" s="3">
        <v>2</v>
      </c>
      <c r="B11" s="9" t="s">
        <v>12</v>
      </c>
      <c r="C11" s="13" t="s">
        <v>13</v>
      </c>
      <c r="D11" s="11">
        <f>E11*D5*12</f>
        <v>74466.12</v>
      </c>
      <c r="E11" s="11">
        <v>0.85</v>
      </c>
      <c r="F11" s="12">
        <f>E11*12*2602.7</f>
        <v>26547.54</v>
      </c>
      <c r="G11" s="12">
        <f>D11-F11</f>
        <v>47918.58</v>
      </c>
      <c r="J11" s="12"/>
      <c r="K11" s="105">
        <f>E11*12*$D$5</f>
        <v>74466.12</v>
      </c>
    </row>
    <row r="12" spans="1:13" ht="29.25" customHeight="1" x14ac:dyDescent="0.25">
      <c r="A12" s="3">
        <v>3</v>
      </c>
      <c r="B12" s="9" t="s">
        <v>14</v>
      </c>
      <c r="C12" s="9"/>
      <c r="D12" s="14">
        <f>E12*D5*12</f>
        <v>213761.57</v>
      </c>
      <c r="E12" s="14">
        <v>2.44</v>
      </c>
      <c r="F12" s="12">
        <f>E12*12*2602.7</f>
        <v>76207.06</v>
      </c>
      <c r="G12" s="12">
        <f>D12-F12</f>
        <v>137554.51</v>
      </c>
      <c r="J12" s="12"/>
      <c r="K12" s="105">
        <f>E12*12*$D$5</f>
        <v>213761.57</v>
      </c>
      <c r="L12" s="15"/>
      <c r="M12" s="15"/>
    </row>
    <row r="13" spans="1:13" s="69" customFormat="1" x14ac:dyDescent="0.25">
      <c r="A13" s="70" t="s">
        <v>15</v>
      </c>
      <c r="B13" s="71" t="s">
        <v>16</v>
      </c>
      <c r="C13" s="60" t="s">
        <v>17</v>
      </c>
      <c r="D13" s="72">
        <f t="shared" ref="D13:D19" si="0">E13*12*$D$5</f>
        <v>77094.34</v>
      </c>
      <c r="E13" s="72">
        <f t="shared" ref="E13:E18" si="1">$E$12*I13</f>
        <v>0.88</v>
      </c>
      <c r="I13" s="73">
        <v>0.35909999999999997</v>
      </c>
    </row>
    <row r="14" spans="1:13" s="69" customFormat="1" x14ac:dyDescent="0.25">
      <c r="A14" s="70" t="s">
        <v>18</v>
      </c>
      <c r="B14" s="71" t="s">
        <v>19</v>
      </c>
      <c r="C14" s="60" t="s">
        <v>20</v>
      </c>
      <c r="D14" s="72">
        <f t="shared" si="0"/>
        <v>53440.39</v>
      </c>
      <c r="E14" s="72">
        <f t="shared" si="1"/>
        <v>0.61</v>
      </c>
      <c r="I14" s="73">
        <v>0.25180000000000002</v>
      </c>
    </row>
    <row r="15" spans="1:13" s="69" customFormat="1" x14ac:dyDescent="0.25">
      <c r="A15" s="74" t="s">
        <v>21</v>
      </c>
      <c r="B15" s="71" t="s">
        <v>22</v>
      </c>
      <c r="C15" s="60" t="s">
        <v>17</v>
      </c>
      <c r="D15" s="72">
        <f t="shared" si="0"/>
        <v>6132.5</v>
      </c>
      <c r="E15" s="72">
        <f t="shared" si="1"/>
        <v>7.0000000000000007E-2</v>
      </c>
      <c r="I15" s="73">
        <v>0.03</v>
      </c>
    </row>
    <row r="16" spans="1:13" s="69" customFormat="1" x14ac:dyDescent="0.25">
      <c r="A16" s="70" t="s">
        <v>23</v>
      </c>
      <c r="B16" s="71" t="s">
        <v>24</v>
      </c>
      <c r="C16" s="60" t="s">
        <v>25</v>
      </c>
      <c r="D16" s="72">
        <f t="shared" si="0"/>
        <v>42927.53</v>
      </c>
      <c r="E16" s="72">
        <f t="shared" si="1"/>
        <v>0.49</v>
      </c>
      <c r="I16" s="73">
        <f>0.2314-0.0298</f>
        <v>0.2016</v>
      </c>
    </row>
    <row r="17" spans="1:13" s="69" customFormat="1" x14ac:dyDescent="0.25">
      <c r="A17" s="70" t="s">
        <v>26</v>
      </c>
      <c r="B17" s="71" t="s">
        <v>27</v>
      </c>
      <c r="C17" s="60" t="s">
        <v>17</v>
      </c>
      <c r="D17" s="72">
        <f t="shared" si="0"/>
        <v>1752.14</v>
      </c>
      <c r="E17" s="72">
        <f t="shared" si="1"/>
        <v>0.02</v>
      </c>
      <c r="I17" s="73">
        <v>6.8999999999999999E-3</v>
      </c>
    </row>
    <row r="18" spans="1:13" s="69" customFormat="1" ht="47.25" x14ac:dyDescent="0.25">
      <c r="A18" s="70" t="s">
        <v>28</v>
      </c>
      <c r="B18" s="71" t="s">
        <v>29</v>
      </c>
      <c r="C18" s="60" t="s">
        <v>30</v>
      </c>
      <c r="D18" s="72">
        <f t="shared" si="0"/>
        <v>30662.52</v>
      </c>
      <c r="E18" s="72">
        <f t="shared" si="1"/>
        <v>0.35</v>
      </c>
      <c r="I18" s="73">
        <v>0.14369999999999999</v>
      </c>
    </row>
    <row r="19" spans="1:13" s="15" customFormat="1" ht="25.5" customHeight="1" x14ac:dyDescent="0.25">
      <c r="A19" s="16" t="s">
        <v>31</v>
      </c>
      <c r="B19" s="17" t="s">
        <v>32</v>
      </c>
      <c r="C19" s="18" t="s">
        <v>33</v>
      </c>
      <c r="D19" s="19">
        <f t="shared" si="0"/>
        <v>1752.14</v>
      </c>
      <c r="E19" s="19">
        <f>$E$12*I19</f>
        <v>0.02</v>
      </c>
      <c r="I19" s="20">
        <v>6.8999999999999999E-3</v>
      </c>
      <c r="K19" s="105"/>
    </row>
    <row r="20" spans="1:13" ht="31.5" customHeight="1" x14ac:dyDescent="0.25">
      <c r="A20" s="3">
        <v>4</v>
      </c>
      <c r="B20" s="9" t="s">
        <v>34</v>
      </c>
      <c r="C20" s="9"/>
      <c r="D20" s="14">
        <f>D21+D26</f>
        <v>340353.97</v>
      </c>
      <c r="E20" s="116">
        <f>4-0.12</f>
        <v>3.88</v>
      </c>
      <c r="F20" s="12" t="s">
        <v>35</v>
      </c>
      <c r="G20" s="12"/>
      <c r="I20" s="22"/>
      <c r="J20" s="12"/>
      <c r="K20" s="105">
        <f>E20*12*$D$5</f>
        <v>339915.94</v>
      </c>
      <c r="M20" s="15"/>
    </row>
    <row r="21" spans="1:13" s="69" customFormat="1" x14ac:dyDescent="0.25">
      <c r="A21" s="70"/>
      <c r="B21" s="76" t="s">
        <v>36</v>
      </c>
      <c r="C21" s="60"/>
      <c r="D21" s="77">
        <f>SUM(D22:D25)</f>
        <v>137981.34</v>
      </c>
      <c r="E21" s="117">
        <f>E20*I21</f>
        <v>3.15</v>
      </c>
      <c r="F21" s="78">
        <f>E21/E20</f>
        <v>0.81</v>
      </c>
      <c r="G21" s="79">
        <v>5.72</v>
      </c>
      <c r="I21" s="80">
        <v>0.81140000000000001</v>
      </c>
    </row>
    <row r="22" spans="1:13" s="69" customFormat="1" ht="31.5" x14ac:dyDescent="0.25">
      <c r="A22" s="74" t="s">
        <v>37</v>
      </c>
      <c r="B22" s="81" t="s">
        <v>38</v>
      </c>
      <c r="C22" s="60" t="s">
        <v>39</v>
      </c>
      <c r="D22" s="72">
        <f>E22*6*$D$5</f>
        <v>61763.08</v>
      </c>
      <c r="E22" s="118">
        <f>$E$21*I22</f>
        <v>1.41</v>
      </c>
      <c r="F22" s="78">
        <f t="shared" ref="F22:F32" si="2">E22/G22</f>
        <v>0.4</v>
      </c>
      <c r="G22" s="79">
        <v>3.55</v>
      </c>
      <c r="H22" s="69">
        <v>0.44</v>
      </c>
      <c r="I22" s="73">
        <v>0.44800000000000001</v>
      </c>
    </row>
    <row r="23" spans="1:13" s="69" customFormat="1" x14ac:dyDescent="0.25">
      <c r="A23" s="70" t="s">
        <v>40</v>
      </c>
      <c r="B23" s="81" t="s">
        <v>41</v>
      </c>
      <c r="C23" s="60" t="s">
        <v>42</v>
      </c>
      <c r="D23" s="72">
        <f>E23*6*$D$5</f>
        <v>17959.48</v>
      </c>
      <c r="E23" s="118">
        <f>$E$21*I23</f>
        <v>0.41</v>
      </c>
      <c r="F23" s="78">
        <f t="shared" si="2"/>
        <v>0.12</v>
      </c>
      <c r="G23" s="79">
        <v>3.55</v>
      </c>
      <c r="H23" s="69">
        <v>8.7999999999999995E-2</v>
      </c>
      <c r="I23" s="73">
        <v>0.13</v>
      </c>
    </row>
    <row r="24" spans="1:13" s="69" customFormat="1" x14ac:dyDescent="0.25">
      <c r="A24" s="70" t="s">
        <v>43</v>
      </c>
      <c r="B24" s="81" t="s">
        <v>44</v>
      </c>
      <c r="C24" s="60" t="s">
        <v>45</v>
      </c>
      <c r="D24" s="72">
        <f>E24*6*$D$5</f>
        <v>34604.839999999997</v>
      </c>
      <c r="E24" s="118">
        <f>$E$21*I24</f>
        <v>0.79</v>
      </c>
      <c r="F24" s="78">
        <f t="shared" si="2"/>
        <v>0.22</v>
      </c>
      <c r="G24" s="79">
        <v>3.55</v>
      </c>
      <c r="H24" s="69">
        <v>0.46010000000000001</v>
      </c>
      <c r="I24" s="73">
        <v>0.25</v>
      </c>
    </row>
    <row r="25" spans="1:13" s="69" customFormat="1" x14ac:dyDescent="0.25">
      <c r="A25" s="70" t="s">
        <v>46</v>
      </c>
      <c r="B25" s="81" t="s">
        <v>47</v>
      </c>
      <c r="C25" s="60" t="s">
        <v>48</v>
      </c>
      <c r="D25" s="72">
        <f>E25*6*$D$5</f>
        <v>23653.94</v>
      </c>
      <c r="E25" s="118">
        <f>$E$21*I25</f>
        <v>0.54</v>
      </c>
      <c r="F25" s="78">
        <f t="shared" si="2"/>
        <v>0.15</v>
      </c>
      <c r="G25" s="79">
        <v>3.55</v>
      </c>
      <c r="H25" s="69">
        <v>8.0000000000000004E-4</v>
      </c>
      <c r="I25" s="73">
        <v>0.17199999999999999</v>
      </c>
    </row>
    <row r="26" spans="1:13" s="69" customFormat="1" x14ac:dyDescent="0.25">
      <c r="A26" s="70"/>
      <c r="B26" s="76" t="s">
        <v>49</v>
      </c>
      <c r="C26" s="60"/>
      <c r="D26" s="77">
        <f>SUM(D27:D32)</f>
        <v>202372.63</v>
      </c>
      <c r="E26" s="117">
        <f>I26*E20</f>
        <v>4.6100000000000003</v>
      </c>
      <c r="F26" s="82">
        <f t="shared" si="2"/>
        <v>0.80594405594405605</v>
      </c>
      <c r="G26" s="79">
        <v>5.72</v>
      </c>
      <c r="I26" s="80">
        <f>2-I21</f>
        <v>1.1886000000000001</v>
      </c>
      <c r="J26" s="83"/>
    </row>
    <row r="27" spans="1:13" s="69" customFormat="1" x14ac:dyDescent="0.25">
      <c r="A27" s="70" t="s">
        <v>50</v>
      </c>
      <c r="B27" s="71" t="s">
        <v>51</v>
      </c>
      <c r="C27" s="60" t="s">
        <v>52</v>
      </c>
      <c r="D27" s="72">
        <f t="shared" ref="D27:D32" si="3">E27*6*$D$5</f>
        <v>98558.1</v>
      </c>
      <c r="E27" s="118">
        <f t="shared" ref="E27:E32" si="4">$E$26*I27</f>
        <v>2.25</v>
      </c>
      <c r="F27" s="78">
        <f t="shared" si="2"/>
        <v>0.28999999999999998</v>
      </c>
      <c r="G27" s="79">
        <v>7.89</v>
      </c>
      <c r="H27" s="69">
        <v>0.45450000000000002</v>
      </c>
      <c r="I27" s="20">
        <v>0.48699999999999999</v>
      </c>
    </row>
    <row r="28" spans="1:13" s="69" customFormat="1" x14ac:dyDescent="0.25">
      <c r="A28" s="70" t="s">
        <v>53</v>
      </c>
      <c r="B28" s="71" t="s">
        <v>54</v>
      </c>
      <c r="C28" s="60" t="s">
        <v>55</v>
      </c>
      <c r="D28" s="72">
        <f t="shared" si="3"/>
        <v>42489.49</v>
      </c>
      <c r="E28" s="118">
        <f t="shared" si="4"/>
        <v>0.97</v>
      </c>
      <c r="F28" s="78">
        <f t="shared" si="2"/>
        <v>0.12</v>
      </c>
      <c r="G28" s="79">
        <v>7.89</v>
      </c>
      <c r="H28" s="69">
        <v>0.4632</v>
      </c>
      <c r="I28" s="20">
        <v>0.21</v>
      </c>
      <c r="L28" s="56"/>
      <c r="M28" s="56"/>
    </row>
    <row r="29" spans="1:13" s="69" customFormat="1" x14ac:dyDescent="0.25">
      <c r="A29" s="74" t="s">
        <v>56</v>
      </c>
      <c r="B29" s="71" t="s">
        <v>57</v>
      </c>
      <c r="C29" s="60" t="s">
        <v>58</v>
      </c>
      <c r="D29" s="72">
        <f t="shared" si="3"/>
        <v>16207.33</v>
      </c>
      <c r="E29" s="118">
        <f t="shared" si="4"/>
        <v>0.37</v>
      </c>
      <c r="F29" s="78">
        <f t="shared" si="2"/>
        <v>0.05</v>
      </c>
      <c r="G29" s="79">
        <v>7.89</v>
      </c>
      <c r="H29" s="69">
        <v>1.29E-2</v>
      </c>
      <c r="I29" s="20">
        <v>0.08</v>
      </c>
    </row>
    <row r="30" spans="1:13" s="69" customFormat="1" x14ac:dyDescent="0.25">
      <c r="A30" s="70" t="s">
        <v>102</v>
      </c>
      <c r="B30" s="71" t="s">
        <v>60</v>
      </c>
      <c r="C30" s="60" t="s">
        <v>61</v>
      </c>
      <c r="D30" s="72">
        <f t="shared" si="3"/>
        <v>10074.83</v>
      </c>
      <c r="E30" s="118">
        <f t="shared" si="4"/>
        <v>0.23</v>
      </c>
      <c r="F30" s="78">
        <f t="shared" si="2"/>
        <v>0.03</v>
      </c>
      <c r="G30" s="79">
        <v>7.89</v>
      </c>
      <c r="H30" s="69">
        <v>4.7600000000000003E-2</v>
      </c>
      <c r="I30" s="20">
        <v>0.05</v>
      </c>
    </row>
    <row r="31" spans="1:13" s="69" customFormat="1" x14ac:dyDescent="0.25">
      <c r="A31" s="70" t="s">
        <v>103</v>
      </c>
      <c r="B31" s="71" t="s">
        <v>63</v>
      </c>
      <c r="C31" s="60" t="s">
        <v>64</v>
      </c>
      <c r="D31" s="72">
        <f t="shared" si="3"/>
        <v>3066.25</v>
      </c>
      <c r="E31" s="118">
        <f t="shared" si="4"/>
        <v>7.0000000000000007E-2</v>
      </c>
      <c r="F31" s="78">
        <f t="shared" si="2"/>
        <v>0.01</v>
      </c>
      <c r="G31" s="79">
        <v>7.89</v>
      </c>
      <c r="H31" s="69">
        <v>4.3E-3</v>
      </c>
      <c r="I31" s="20">
        <v>1.4999999999999999E-2</v>
      </c>
    </row>
    <row r="32" spans="1:13" s="69" customFormat="1" x14ac:dyDescent="0.25">
      <c r="A32" s="70" t="s">
        <v>65</v>
      </c>
      <c r="B32" s="71" t="s">
        <v>66</v>
      </c>
      <c r="C32" s="60" t="s">
        <v>67</v>
      </c>
      <c r="D32" s="72">
        <f t="shared" si="3"/>
        <v>31976.63</v>
      </c>
      <c r="E32" s="118">
        <f t="shared" si="4"/>
        <v>0.73</v>
      </c>
      <c r="F32" s="78">
        <f t="shared" si="2"/>
        <v>0.09</v>
      </c>
      <c r="G32" s="79">
        <v>7.89</v>
      </c>
      <c r="H32" s="69">
        <f>1-H27-H28-H29-H30-H31</f>
        <v>1.7500000000000002E-2</v>
      </c>
      <c r="I32" s="20">
        <v>0.158</v>
      </c>
    </row>
    <row r="33" spans="1:13" s="15" customFormat="1" x14ac:dyDescent="0.25">
      <c r="A33" s="16">
        <v>5</v>
      </c>
      <c r="B33" s="154" t="s">
        <v>117</v>
      </c>
      <c r="C33" s="13" t="s">
        <v>17</v>
      </c>
      <c r="D33" s="156">
        <f>E33*12*$D$5</f>
        <v>10512.86</v>
      </c>
      <c r="E33" s="155">
        <v>0.12</v>
      </c>
      <c r="F33" s="151"/>
      <c r="G33" s="152"/>
      <c r="I33" s="20"/>
      <c r="J33" s="148">
        <f t="shared" ref="J33" si="5">E33*$D$5*12</f>
        <v>10512.86</v>
      </c>
      <c r="K33" s="148">
        <f t="shared" ref="K33" si="6">J33-D33</f>
        <v>0</v>
      </c>
    </row>
    <row r="34" spans="1:13" ht="51" customHeight="1" x14ac:dyDescent="0.25">
      <c r="A34" s="3">
        <v>6</v>
      </c>
      <c r="B34" s="31" t="s">
        <v>113</v>
      </c>
      <c r="C34" s="13" t="s">
        <v>114</v>
      </c>
      <c r="D34" s="14">
        <v>5373.36</v>
      </c>
      <c r="E34" s="116">
        <f>D34/12/D5</f>
        <v>0.06</v>
      </c>
      <c r="F34" s="12">
        <f>E34*12*2602.7</f>
        <v>1873.94</v>
      </c>
      <c r="G34" s="12">
        <f>D34-F34</f>
        <v>3499.42</v>
      </c>
      <c r="J34" s="12"/>
      <c r="K34" s="105">
        <f t="shared" ref="K34:K38" si="7">E34*12*$D$5</f>
        <v>5256.43</v>
      </c>
      <c r="M34" s="15"/>
    </row>
    <row r="35" spans="1:13" ht="14.25" customHeight="1" x14ac:dyDescent="0.25">
      <c r="A35" s="85">
        <v>7</v>
      </c>
      <c r="B35" s="31" t="s">
        <v>68</v>
      </c>
      <c r="C35" s="33"/>
      <c r="D35" s="14">
        <f>SUM(D36:D37)</f>
        <v>107756.85</v>
      </c>
      <c r="E35" s="116">
        <v>1.23</v>
      </c>
      <c r="J35" s="12"/>
      <c r="K35" s="105">
        <f t="shared" si="7"/>
        <v>107756.86</v>
      </c>
    </row>
    <row r="36" spans="1:13" ht="41.25" customHeight="1" x14ac:dyDescent="0.25">
      <c r="A36" s="16" t="s">
        <v>115</v>
      </c>
      <c r="B36" s="34" t="s">
        <v>69</v>
      </c>
      <c r="C36" s="35" t="s">
        <v>17</v>
      </c>
      <c r="D36" s="36">
        <f>E36*12*$D$5</f>
        <v>79722.55</v>
      </c>
      <c r="E36" s="119">
        <f>I36*$E$35</f>
        <v>0.91</v>
      </c>
      <c r="I36" s="37">
        <v>0.74180000000000001</v>
      </c>
      <c r="K36" s="105">
        <f t="shared" si="7"/>
        <v>79722.55</v>
      </c>
    </row>
    <row r="37" spans="1:13" ht="18.75" customHeight="1" x14ac:dyDescent="0.25">
      <c r="A37" s="21" t="s">
        <v>116</v>
      </c>
      <c r="B37" s="38" t="s">
        <v>70</v>
      </c>
      <c r="C37" s="35" t="s">
        <v>64</v>
      </c>
      <c r="D37" s="36">
        <f>E37*12*$D$5</f>
        <v>28034.3</v>
      </c>
      <c r="E37" s="119">
        <f>I37*$E$35</f>
        <v>0.32</v>
      </c>
      <c r="I37" s="37">
        <v>0.25819999999999999</v>
      </c>
      <c r="K37" s="105">
        <f t="shared" si="7"/>
        <v>28034.3</v>
      </c>
    </row>
    <row r="38" spans="1:13" ht="29.25" customHeight="1" x14ac:dyDescent="0.25">
      <c r="A38" s="32">
        <v>8</v>
      </c>
      <c r="B38" s="31" t="s">
        <v>91</v>
      </c>
      <c r="C38" s="13" t="s">
        <v>85</v>
      </c>
      <c r="D38" s="11">
        <f>5273.6*4*12</f>
        <v>253132.79999999999</v>
      </c>
      <c r="E38" s="120">
        <f>D38/12/D5</f>
        <v>2.89</v>
      </c>
      <c r="J38" s="12"/>
      <c r="K38" s="105">
        <f t="shared" si="7"/>
        <v>253184.81</v>
      </c>
    </row>
    <row r="39" spans="1:13" ht="29.25" customHeight="1" x14ac:dyDescent="0.25">
      <c r="A39" s="32">
        <v>9</v>
      </c>
      <c r="B39" s="31" t="s">
        <v>84</v>
      </c>
      <c r="C39" s="13" t="s">
        <v>85</v>
      </c>
      <c r="D39" s="11">
        <v>29400</v>
      </c>
      <c r="E39" s="120">
        <v>0.34</v>
      </c>
      <c r="J39" s="12"/>
    </row>
    <row r="40" spans="1:13" ht="30" customHeight="1" x14ac:dyDescent="0.25">
      <c r="A40" s="32">
        <v>10</v>
      </c>
      <c r="B40" s="31" t="s">
        <v>97</v>
      </c>
      <c r="C40" s="13" t="s">
        <v>85</v>
      </c>
      <c r="D40" s="11">
        <v>18231.45</v>
      </c>
      <c r="E40" s="11">
        <v>0.25</v>
      </c>
      <c r="J40" s="12"/>
    </row>
    <row r="41" spans="1:13" ht="30" customHeight="1" x14ac:dyDescent="0.25">
      <c r="A41" s="32">
        <v>11</v>
      </c>
      <c r="B41" s="31" t="s">
        <v>129</v>
      </c>
      <c r="C41" s="13" t="s">
        <v>17</v>
      </c>
      <c r="D41" s="11">
        <f>E41*12*D5</f>
        <v>234787.3</v>
      </c>
      <c r="E41" s="11">
        <f>1.65+1.03</f>
        <v>2.68</v>
      </c>
      <c r="I41" s="2">
        <f>3.14/1.13</f>
        <v>2.7787610619468999</v>
      </c>
      <c r="J41" s="12"/>
    </row>
    <row r="42" spans="1:13" x14ac:dyDescent="0.25">
      <c r="A42" s="32">
        <v>12</v>
      </c>
      <c r="B42" s="39" t="s">
        <v>72</v>
      </c>
      <c r="C42" s="33"/>
      <c r="D42" s="116">
        <f>SUM(D10:D12,D20,D33:D35,D38:D41)</f>
        <v>2007907.46</v>
      </c>
      <c r="E42" s="116">
        <f>SUM(E10:E12,E20,E33:E35,E38:E41)</f>
        <v>22.96</v>
      </c>
      <c r="G42" s="12" t="e">
        <f>E10+#REF!+E11+E20+#REF!+#REF!</f>
        <v>#REF!</v>
      </c>
      <c r="I42" s="12"/>
      <c r="J42" s="12"/>
      <c r="K42" s="105">
        <f>E42*12*$D$5</f>
        <v>2011461.31</v>
      </c>
    </row>
    <row r="43" spans="1:13" ht="130.5" customHeight="1" x14ac:dyDescent="0.25">
      <c r="A43" s="32">
        <v>13</v>
      </c>
      <c r="B43" s="41" t="s">
        <v>126</v>
      </c>
      <c r="C43" s="53" t="s">
        <v>74</v>
      </c>
      <c r="D43" s="14">
        <f>E43*12*D5</f>
        <v>301368.77</v>
      </c>
      <c r="E43" s="116">
        <f>E42*0.15</f>
        <v>3.44</v>
      </c>
      <c r="F43" s="12">
        <f>E43*12*2602.7</f>
        <v>107439.46</v>
      </c>
      <c r="G43" s="12">
        <f>D43-F43</f>
        <v>193929.31</v>
      </c>
      <c r="H43" s="2">
        <f>E43*12*2602.7</f>
        <v>107439.45600000001</v>
      </c>
      <c r="I43" s="2">
        <v>19.96</v>
      </c>
      <c r="J43" s="12">
        <f>1-I43/E44</f>
        <v>0.24</v>
      </c>
      <c r="K43" s="105">
        <f>E43*12*$D$5</f>
        <v>301368.77</v>
      </c>
    </row>
    <row r="44" spans="1:13" x14ac:dyDescent="0.25">
      <c r="A44" s="32">
        <v>14</v>
      </c>
      <c r="B44" s="42" t="s">
        <v>107</v>
      </c>
      <c r="C44" s="43"/>
      <c r="D44" s="44">
        <f>D42+D43</f>
        <v>2309276.23</v>
      </c>
      <c r="E44" s="121">
        <f>E42+E43</f>
        <v>26.4</v>
      </c>
      <c r="G44" s="12"/>
      <c r="I44" s="12"/>
      <c r="J44" s="12"/>
      <c r="K44" s="105">
        <f>E44*12*$D$5</f>
        <v>2312830.08</v>
      </c>
    </row>
    <row r="45" spans="1:13" hidden="1" x14ac:dyDescent="0.25">
      <c r="A45" s="32">
        <v>15</v>
      </c>
      <c r="B45" s="42" t="s">
        <v>76</v>
      </c>
      <c r="C45" s="43"/>
      <c r="D45" s="44">
        <f>D46</f>
        <v>0</v>
      </c>
      <c r="E45" s="44">
        <f>E46</f>
        <v>0</v>
      </c>
    </row>
    <row r="46" spans="1:13" hidden="1" x14ac:dyDescent="0.25">
      <c r="A46" s="32"/>
      <c r="B46" s="172"/>
      <c r="C46" s="173"/>
      <c r="D46" s="174"/>
      <c r="E46" s="174"/>
    </row>
    <row r="47" spans="1:13" ht="132" hidden="1" customHeight="1" x14ac:dyDescent="0.25">
      <c r="A47" s="32">
        <v>16</v>
      </c>
      <c r="B47" s="48" t="s">
        <v>73</v>
      </c>
      <c r="C47" s="54" t="s">
        <v>94</v>
      </c>
      <c r="D47" s="46">
        <f>D45*0.1</f>
        <v>0</v>
      </c>
      <c r="E47" s="46">
        <f>E45*0.1</f>
        <v>0</v>
      </c>
    </row>
    <row r="48" spans="1:13" hidden="1" x14ac:dyDescent="0.25">
      <c r="A48" s="32">
        <v>17</v>
      </c>
      <c r="B48" s="42" t="s">
        <v>95</v>
      </c>
      <c r="C48" s="53"/>
      <c r="D48" s="14">
        <f>SUM(D45,D47)</f>
        <v>0</v>
      </c>
      <c r="E48" s="14">
        <f>SUM(E45,E47)</f>
        <v>0</v>
      </c>
    </row>
    <row r="49" spans="1:9" x14ac:dyDescent="0.25">
      <c r="A49" s="32">
        <v>15</v>
      </c>
      <c r="B49" s="42" t="s">
        <v>79</v>
      </c>
      <c r="C49" s="43"/>
      <c r="D49" s="44">
        <f>SUM(D44,D48)</f>
        <v>2309276.23</v>
      </c>
      <c r="E49" s="44">
        <f>SUM(E44,E48)</f>
        <v>26.4</v>
      </c>
    </row>
    <row r="50" spans="1:9" x14ac:dyDescent="0.25">
      <c r="D50" s="52"/>
      <c r="E50" s="52"/>
      <c r="I50" s="12"/>
    </row>
    <row r="51" spans="1:9" x14ac:dyDescent="0.25">
      <c r="D51" s="51"/>
      <c r="E51" s="51"/>
    </row>
    <row r="54" spans="1:9" x14ac:dyDescent="0.25">
      <c r="B54" s="52" t="s">
        <v>80</v>
      </c>
      <c r="C54" s="51" t="s">
        <v>109</v>
      </c>
    </row>
    <row r="55" spans="1:9" x14ac:dyDescent="0.25">
      <c r="B55" s="52"/>
      <c r="C55" s="52"/>
    </row>
    <row r="56" spans="1:9" x14ac:dyDescent="0.25">
      <c r="C56" s="109"/>
    </row>
    <row r="57" spans="1:9" x14ac:dyDescent="0.25">
      <c r="B57" s="52" t="s">
        <v>82</v>
      </c>
      <c r="C57" s="103" t="s">
        <v>83</v>
      </c>
    </row>
  </sheetData>
  <mergeCells count="9">
    <mergeCell ref="D1:F1"/>
    <mergeCell ref="B2:E2"/>
    <mergeCell ref="C3:E3"/>
    <mergeCell ref="C4:E4"/>
    <mergeCell ref="C5:C9"/>
    <mergeCell ref="D5:E5"/>
    <mergeCell ref="D6:E6"/>
    <mergeCell ref="D7:E7"/>
    <mergeCell ref="D8:E8"/>
  </mergeCells>
  <phoneticPr fontId="7" type="noConversion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5" zoomScale="60" zoomScaleNormal="66" workbookViewId="0">
      <selection activeCell="B54" sqref="B54:B60"/>
    </sheetView>
  </sheetViews>
  <sheetFormatPr defaultColWidth="10.28515625" defaultRowHeight="15.75" x14ac:dyDescent="0.25"/>
  <cols>
    <col min="1" max="1" width="6.85546875" style="1" customWidth="1"/>
    <col min="2" max="2" width="93.42578125" style="2" customWidth="1"/>
    <col min="3" max="3" width="75.42578125" style="2" customWidth="1"/>
    <col min="4" max="4" width="17" style="2" customWidth="1"/>
    <col min="5" max="5" width="18.28515625" style="2" customWidth="1"/>
    <col min="6" max="6" width="7.85546875" style="2" hidden="1" customWidth="1"/>
    <col min="7" max="7" width="7" style="2" hidden="1" customWidth="1"/>
    <col min="8" max="8" width="10.5703125" style="2" bestFit="1" customWidth="1"/>
    <col min="9" max="9" width="10.28515625" style="2" customWidth="1"/>
    <col min="10" max="10" width="13" style="105" customWidth="1"/>
    <col min="11" max="16384" width="10.28515625" style="2"/>
  </cols>
  <sheetData>
    <row r="1" spans="1:12" ht="92.25" customHeight="1" x14ac:dyDescent="0.25">
      <c r="D1" s="199" t="s">
        <v>118</v>
      </c>
      <c r="E1" s="199"/>
      <c r="F1" s="200"/>
    </row>
    <row r="2" spans="1:12" ht="42.75" customHeight="1" x14ac:dyDescent="0.25">
      <c r="A2" s="130"/>
      <c r="B2" s="216" t="s">
        <v>124</v>
      </c>
      <c r="C2" s="216"/>
      <c r="D2" s="216"/>
      <c r="E2" s="216"/>
    </row>
    <row r="3" spans="1:12" ht="19.5" customHeight="1" x14ac:dyDescent="0.25">
      <c r="A3" s="16"/>
      <c r="B3" s="129" t="s">
        <v>0</v>
      </c>
      <c r="C3" s="217" t="s">
        <v>110</v>
      </c>
      <c r="D3" s="207"/>
      <c r="E3" s="207"/>
      <c r="H3" s="5"/>
    </row>
    <row r="4" spans="1:12" ht="51.75" hidden="1" customHeight="1" x14ac:dyDescent="0.25">
      <c r="A4" s="16"/>
      <c r="B4" s="129" t="s">
        <v>1</v>
      </c>
      <c r="C4" s="204" t="s">
        <v>2</v>
      </c>
      <c r="D4" s="207"/>
      <c r="E4" s="207"/>
    </row>
    <row r="5" spans="1:12" ht="21" customHeight="1" x14ac:dyDescent="0.25">
      <c r="A5" s="16"/>
      <c r="B5" s="18" t="s">
        <v>3</v>
      </c>
      <c r="C5" s="204" t="s">
        <v>4</v>
      </c>
      <c r="D5" s="206">
        <f>SUM(D7:E8)</f>
        <v>3897.1</v>
      </c>
      <c r="E5" s="207"/>
      <c r="H5" s="5"/>
    </row>
    <row r="6" spans="1:12" ht="14.25" hidden="1" customHeight="1" x14ac:dyDescent="0.25">
      <c r="A6" s="16"/>
      <c r="B6" s="18" t="s">
        <v>5</v>
      </c>
      <c r="C6" s="204"/>
      <c r="D6" s="204">
        <v>3048.1</v>
      </c>
      <c r="E6" s="207"/>
    </row>
    <row r="7" spans="1:12" x14ac:dyDescent="0.25">
      <c r="A7" s="16"/>
      <c r="B7" s="18" t="s">
        <v>6</v>
      </c>
      <c r="C7" s="204"/>
      <c r="D7" s="206">
        <v>3809.4</v>
      </c>
      <c r="E7" s="206"/>
    </row>
    <row r="8" spans="1:12" x14ac:dyDescent="0.25">
      <c r="A8" s="16"/>
      <c r="B8" s="18" t="s">
        <v>7</v>
      </c>
      <c r="C8" s="204"/>
      <c r="D8" s="206">
        <v>87.7</v>
      </c>
      <c r="E8" s="208"/>
    </row>
    <row r="9" spans="1:12" ht="72" customHeight="1" x14ac:dyDescent="0.25">
      <c r="A9" s="16"/>
      <c r="B9" s="131" t="s">
        <v>8</v>
      </c>
      <c r="C9" s="204"/>
      <c r="D9" s="18" t="s">
        <v>9</v>
      </c>
      <c r="E9" s="132" t="s">
        <v>10</v>
      </c>
    </row>
    <row r="10" spans="1:12" ht="183.75" customHeight="1" x14ac:dyDescent="0.25">
      <c r="A10" s="136">
        <v>1</v>
      </c>
      <c r="B10" s="137" t="s">
        <v>11</v>
      </c>
      <c r="C10" s="188" t="s">
        <v>131</v>
      </c>
      <c r="D10" s="138">
        <f>E10*12*D5</f>
        <v>365236.21</v>
      </c>
      <c r="E10" s="138">
        <v>7.81</v>
      </c>
      <c r="F10" s="12">
        <f>E10*12*2602.7</f>
        <v>243925.04</v>
      </c>
      <c r="G10" s="12">
        <f>D10-F10</f>
        <v>121311.17</v>
      </c>
      <c r="I10" s="12"/>
    </row>
    <row r="11" spans="1:12" ht="33.75" customHeight="1" x14ac:dyDescent="0.25">
      <c r="A11" s="136">
        <v>2</v>
      </c>
      <c r="B11" s="137" t="s">
        <v>12</v>
      </c>
      <c r="C11" s="139" t="s">
        <v>13</v>
      </c>
      <c r="D11" s="138">
        <f>E11*D5*12</f>
        <v>39750.42</v>
      </c>
      <c r="E11" s="138">
        <v>0.85</v>
      </c>
      <c r="F11" s="12">
        <f>E11*12*2602.7</f>
        <v>26547.54</v>
      </c>
      <c r="G11" s="12">
        <f>D11-F11</f>
        <v>13202.88</v>
      </c>
      <c r="I11" s="12"/>
    </row>
    <row r="12" spans="1:12" ht="29.25" customHeight="1" x14ac:dyDescent="0.25">
      <c r="A12" s="136">
        <v>3</v>
      </c>
      <c r="B12" s="137" t="s">
        <v>14</v>
      </c>
      <c r="C12" s="137"/>
      <c r="D12" s="140">
        <f>E12*D5*12</f>
        <v>115510.04</v>
      </c>
      <c r="E12" s="140">
        <v>2.4700000000000002</v>
      </c>
      <c r="F12" s="12">
        <f>E12*12*2602.7</f>
        <v>77144.03</v>
      </c>
      <c r="G12" s="12">
        <f>D12-F12</f>
        <v>38366.01</v>
      </c>
      <c r="H12" s="2">
        <f>D12/12/D5</f>
        <v>2.4699999144663098</v>
      </c>
      <c r="I12" s="12"/>
      <c r="K12" s="15"/>
      <c r="L12" s="15"/>
    </row>
    <row r="13" spans="1:12" s="69" customFormat="1" x14ac:dyDescent="0.25">
      <c r="A13" s="70" t="s">
        <v>15</v>
      </c>
      <c r="B13" s="71" t="s">
        <v>16</v>
      </c>
      <c r="C13" s="60" t="s">
        <v>17</v>
      </c>
      <c r="D13" s="72">
        <f>E13*12*$D$5</f>
        <v>43023.98</v>
      </c>
      <c r="E13" s="72">
        <f>E12*H13</f>
        <v>0.92</v>
      </c>
      <c r="H13" s="20">
        <f>0.3591+0.015</f>
        <v>0.37409999999999999</v>
      </c>
      <c r="I13" s="73">
        <v>0.35909999999999997</v>
      </c>
      <c r="J13" s="69">
        <f t="shared" ref="J13:J18" si="0">E12*H13</f>
        <v>0.92402700000000004</v>
      </c>
    </row>
    <row r="14" spans="1:12" s="69" customFormat="1" x14ac:dyDescent="0.25">
      <c r="A14" s="70" t="s">
        <v>18</v>
      </c>
      <c r="B14" s="71" t="s">
        <v>19</v>
      </c>
      <c r="C14" s="60" t="s">
        <v>20</v>
      </c>
      <c r="D14" s="72">
        <f>E14*12*D5</f>
        <v>30865.03</v>
      </c>
      <c r="E14" s="72">
        <f>E12*H14</f>
        <v>0.66</v>
      </c>
      <c r="H14" s="20">
        <f>0.2518+0.015</f>
        <v>0.26679999999999998</v>
      </c>
      <c r="I14" s="73">
        <v>0.25180000000000002</v>
      </c>
      <c r="J14" s="69">
        <f t="shared" si="0"/>
        <v>0.24545600000000001</v>
      </c>
    </row>
    <row r="15" spans="1:12" s="69" customFormat="1" x14ac:dyDescent="0.25">
      <c r="A15" s="70" t="s">
        <v>21</v>
      </c>
      <c r="B15" s="71" t="s">
        <v>24</v>
      </c>
      <c r="C15" s="60" t="s">
        <v>25</v>
      </c>
      <c r="D15" s="72">
        <f>E15*12*$D$5</f>
        <v>23382.6</v>
      </c>
      <c r="E15" s="72">
        <f>E12*H15</f>
        <v>0.5</v>
      </c>
      <c r="H15" s="20">
        <f>0.2314-0.0298</f>
        <v>0.2016</v>
      </c>
      <c r="I15" s="73">
        <f>0.2314-0.0298</f>
        <v>0.2016</v>
      </c>
      <c r="J15" s="69">
        <f t="shared" si="0"/>
        <v>0.13305600000000001</v>
      </c>
    </row>
    <row r="16" spans="1:12" s="69" customFormat="1" x14ac:dyDescent="0.25">
      <c r="A16" s="70" t="s">
        <v>23</v>
      </c>
      <c r="B16" s="71" t="s">
        <v>27</v>
      </c>
      <c r="C16" s="60" t="s">
        <v>17</v>
      </c>
      <c r="D16" s="72">
        <f>E16*12*$D$5</f>
        <v>935.3</v>
      </c>
      <c r="E16" s="72">
        <f>$E$12*I16</f>
        <v>0.02</v>
      </c>
      <c r="H16" s="20">
        <v>6.8999999999999999E-3</v>
      </c>
      <c r="I16" s="73">
        <v>6.8999999999999999E-3</v>
      </c>
      <c r="J16" s="69">
        <f t="shared" si="0"/>
        <v>3.4499999999999999E-3</v>
      </c>
    </row>
    <row r="17" spans="1:12" s="69" customFormat="1" ht="47.25" x14ac:dyDescent="0.25">
      <c r="A17" s="70" t="s">
        <v>26</v>
      </c>
      <c r="B17" s="71" t="s">
        <v>29</v>
      </c>
      <c r="C17" s="60" t="s">
        <v>30</v>
      </c>
      <c r="D17" s="72">
        <f>E17*12*$D$5</f>
        <v>16367.82</v>
      </c>
      <c r="E17" s="72">
        <f>$E$12*I17</f>
        <v>0.35</v>
      </c>
      <c r="H17" s="20">
        <v>0.14369999999999999</v>
      </c>
      <c r="I17" s="73">
        <v>0.14369999999999999</v>
      </c>
      <c r="J17" s="69">
        <f t="shared" si="0"/>
        <v>2.8739999999999998E-3</v>
      </c>
    </row>
    <row r="18" spans="1:12" s="15" customFormat="1" ht="25.5" customHeight="1" x14ac:dyDescent="0.25">
      <c r="A18" s="16" t="s">
        <v>28</v>
      </c>
      <c r="B18" s="17" t="s">
        <v>32</v>
      </c>
      <c r="C18" s="18" t="s">
        <v>33</v>
      </c>
      <c r="D18" s="19">
        <f>E18*12*$D$5</f>
        <v>935.3</v>
      </c>
      <c r="E18" s="19">
        <f>$E$12*I18</f>
        <v>0.02</v>
      </c>
      <c r="H18" s="20">
        <v>6.8999999999999999E-3</v>
      </c>
      <c r="I18" s="20">
        <v>6.8999999999999999E-3</v>
      </c>
      <c r="J18" s="69">
        <f t="shared" si="0"/>
        <v>2.415E-3</v>
      </c>
      <c r="K18" s="69"/>
    </row>
    <row r="19" spans="1:12" ht="31.5" customHeight="1" x14ac:dyDescent="0.25">
      <c r="A19" s="136">
        <v>4</v>
      </c>
      <c r="B19" s="137" t="s">
        <v>34</v>
      </c>
      <c r="C19" s="137"/>
      <c r="D19" s="140">
        <f>D20+D26</f>
        <v>186663.29</v>
      </c>
      <c r="E19" s="140">
        <v>3.98</v>
      </c>
      <c r="F19" s="12" t="s">
        <v>35</v>
      </c>
      <c r="G19" s="12"/>
      <c r="H19" s="22">
        <f>D19/12/D5</f>
        <v>3.9914999999999998</v>
      </c>
      <c r="I19" s="12"/>
      <c r="L19" s="15"/>
    </row>
    <row r="20" spans="1:12" s="15" customFormat="1" x14ac:dyDescent="0.25">
      <c r="A20" s="16"/>
      <c r="B20" s="23" t="s">
        <v>36</v>
      </c>
      <c r="C20" s="18"/>
      <c r="D20" s="24">
        <f>SUM(D21:D25)</f>
        <v>76227.27</v>
      </c>
      <c r="E20" s="24">
        <f>E19*H20</f>
        <v>3.24</v>
      </c>
      <c r="F20" s="25">
        <f>E20/E19</f>
        <v>0.81</v>
      </c>
      <c r="G20" s="26">
        <v>5.72</v>
      </c>
      <c r="H20" s="27">
        <v>0.81379999999999997</v>
      </c>
      <c r="J20" s="105"/>
    </row>
    <row r="21" spans="1:12" s="15" customFormat="1" ht="39" customHeight="1" x14ac:dyDescent="0.25">
      <c r="A21" s="21" t="s">
        <v>37</v>
      </c>
      <c r="B21" s="17" t="s">
        <v>38</v>
      </c>
      <c r="C21" s="18" t="s">
        <v>39</v>
      </c>
      <c r="D21" s="19">
        <f>E21*6*$D$5</f>
        <v>25954.69</v>
      </c>
      <c r="E21" s="19">
        <f>$E$20*H21</f>
        <v>1.1100000000000001</v>
      </c>
      <c r="F21" s="25">
        <f t="shared" ref="F21:F33" si="1">E21/G21</f>
        <v>0.31</v>
      </c>
      <c r="G21" s="26">
        <v>3.55</v>
      </c>
      <c r="H21" s="20">
        <f>-0.0269+0.44-0.074+0.002</f>
        <v>0.34110000000000001</v>
      </c>
      <c r="J21" s="105"/>
    </row>
    <row r="22" spans="1:12" s="15" customFormat="1" ht="20.25" customHeight="1" x14ac:dyDescent="0.25">
      <c r="A22" s="16" t="s">
        <v>40</v>
      </c>
      <c r="B22" s="17" t="s">
        <v>41</v>
      </c>
      <c r="C22" s="18" t="s">
        <v>42</v>
      </c>
      <c r="D22" s="19">
        <f>E22*6*$D$5</f>
        <v>9119.2099999999991</v>
      </c>
      <c r="E22" s="19">
        <f>$E$20*H22</f>
        <v>0.39</v>
      </c>
      <c r="F22" s="25">
        <f t="shared" si="1"/>
        <v>0.11</v>
      </c>
      <c r="G22" s="26">
        <v>3.55</v>
      </c>
      <c r="H22" s="20">
        <v>0.12</v>
      </c>
      <c r="J22" s="105"/>
    </row>
    <row r="23" spans="1:12" s="15" customFormat="1" x14ac:dyDescent="0.25">
      <c r="A23" s="16" t="s">
        <v>43</v>
      </c>
      <c r="B23" s="17" t="s">
        <v>44</v>
      </c>
      <c r="C23" s="18" t="s">
        <v>45</v>
      </c>
      <c r="D23" s="19">
        <f>E23*6*$D$5</f>
        <v>11457.47</v>
      </c>
      <c r="E23" s="19">
        <f>$E$20*H23</f>
        <v>0.49</v>
      </c>
      <c r="F23" s="25">
        <f t="shared" si="1"/>
        <v>0.14000000000000001</v>
      </c>
      <c r="G23" s="26">
        <v>3.55</v>
      </c>
      <c r="H23" s="20">
        <v>0.15</v>
      </c>
      <c r="J23" s="105"/>
    </row>
    <row r="24" spans="1:12" s="15" customFormat="1" x14ac:dyDescent="0.25">
      <c r="A24" s="16" t="s">
        <v>46</v>
      </c>
      <c r="B24" s="17" t="s">
        <v>47</v>
      </c>
      <c r="C24" s="18" t="s">
        <v>48</v>
      </c>
      <c r="D24" s="19">
        <f>E24*6*$D$5</f>
        <v>1636.78</v>
      </c>
      <c r="E24" s="19">
        <f>$E$20*H24</f>
        <v>7.0000000000000007E-2</v>
      </c>
      <c r="F24" s="25">
        <f t="shared" si="1"/>
        <v>0.02</v>
      </c>
      <c r="G24" s="26">
        <v>3.55</v>
      </c>
      <c r="H24" s="20">
        <v>2.0899999999999998E-2</v>
      </c>
      <c r="J24" s="105"/>
    </row>
    <row r="25" spans="1:12" s="15" customFormat="1" x14ac:dyDescent="0.25">
      <c r="A25" s="16" t="s">
        <v>50</v>
      </c>
      <c r="B25" s="17" t="s">
        <v>100</v>
      </c>
      <c r="C25" s="115" t="s">
        <v>101</v>
      </c>
      <c r="D25" s="19">
        <f>E25*6*$D$5</f>
        <v>28059.119999999999</v>
      </c>
      <c r="E25" s="19">
        <f>$E$20*H25</f>
        <v>1.2</v>
      </c>
      <c r="F25" s="25">
        <f t="shared" si="1"/>
        <v>0.34</v>
      </c>
      <c r="G25" s="26">
        <v>3.55</v>
      </c>
      <c r="H25" s="20">
        <v>0.37</v>
      </c>
      <c r="J25" s="105"/>
    </row>
    <row r="26" spans="1:12" s="15" customFormat="1" x14ac:dyDescent="0.25">
      <c r="A26" s="16"/>
      <c r="B26" s="23" t="s">
        <v>49</v>
      </c>
      <c r="C26" s="18"/>
      <c r="D26" s="24">
        <f>SUM(D27:D33)</f>
        <v>110436.02</v>
      </c>
      <c r="E26" s="24">
        <f>H26*E19</f>
        <v>4.72</v>
      </c>
      <c r="F26" s="29">
        <f t="shared" si="1"/>
        <v>0.82517482517482499</v>
      </c>
      <c r="G26" s="26">
        <v>5.72</v>
      </c>
      <c r="H26" s="27">
        <f>2-H20</f>
        <v>1.1861999999999999</v>
      </c>
      <c r="I26" s="30"/>
      <c r="J26" s="105"/>
    </row>
    <row r="27" spans="1:12" s="15" customFormat="1" ht="16.5" customHeight="1" x14ac:dyDescent="0.25">
      <c r="A27" s="16" t="s">
        <v>53</v>
      </c>
      <c r="B27" s="17" t="s">
        <v>51</v>
      </c>
      <c r="C27" s="18" t="s">
        <v>52</v>
      </c>
      <c r="D27" s="19">
        <f t="shared" ref="D27:D33" si="2">E27*6*$D$5</f>
        <v>33203.29</v>
      </c>
      <c r="E27" s="19">
        <f t="shared" ref="E27:E33" si="3">$E$26*H27</f>
        <v>1.42</v>
      </c>
      <c r="F27" s="25">
        <f t="shared" si="1"/>
        <v>0.18</v>
      </c>
      <c r="G27" s="26">
        <v>7.89</v>
      </c>
      <c r="H27" s="20">
        <f>-0.1489+0.449</f>
        <v>0.30009999999999998</v>
      </c>
      <c r="J27" s="105"/>
    </row>
    <row r="28" spans="1:12" s="15" customFormat="1" ht="23.25" customHeight="1" x14ac:dyDescent="0.25">
      <c r="A28" s="16" t="s">
        <v>56</v>
      </c>
      <c r="B28" s="17" t="s">
        <v>54</v>
      </c>
      <c r="C28" s="18" t="s">
        <v>55</v>
      </c>
      <c r="D28" s="19">
        <f t="shared" si="2"/>
        <v>25861.16</v>
      </c>
      <c r="E28" s="106">
        <f t="shared" si="3"/>
        <v>1.1060000000000001</v>
      </c>
      <c r="F28" s="25">
        <f t="shared" si="1"/>
        <v>0.14000000000000001</v>
      </c>
      <c r="G28" s="26">
        <v>7.89</v>
      </c>
      <c r="H28" s="20">
        <f>-0.0057+0.24</f>
        <v>0.23430000000000001</v>
      </c>
      <c r="J28" s="105"/>
      <c r="K28" s="2"/>
      <c r="L28" s="2"/>
    </row>
    <row r="29" spans="1:12" s="15" customFormat="1" ht="33.75" customHeight="1" x14ac:dyDescent="0.25">
      <c r="A29" s="21" t="s">
        <v>102</v>
      </c>
      <c r="B29" s="17" t="s">
        <v>57</v>
      </c>
      <c r="C29" s="18" t="s">
        <v>58</v>
      </c>
      <c r="D29" s="19">
        <f t="shared" si="2"/>
        <v>12135.57</v>
      </c>
      <c r="E29" s="106">
        <f t="shared" si="3"/>
        <v>0.51900000000000002</v>
      </c>
      <c r="F29" s="25">
        <f t="shared" si="1"/>
        <v>7.0000000000000007E-2</v>
      </c>
      <c r="G29" s="26">
        <v>7.89</v>
      </c>
      <c r="H29" s="20">
        <v>0.11</v>
      </c>
      <c r="J29" s="105"/>
    </row>
    <row r="30" spans="1:12" s="15" customFormat="1" ht="19.5" customHeight="1" x14ac:dyDescent="0.25">
      <c r="A30" s="16" t="s">
        <v>103</v>
      </c>
      <c r="B30" s="17" t="s">
        <v>60</v>
      </c>
      <c r="C30" s="18" t="s">
        <v>61</v>
      </c>
      <c r="D30" s="19">
        <f t="shared" si="2"/>
        <v>5261.09</v>
      </c>
      <c r="E30" s="106">
        <f t="shared" si="3"/>
        <v>0.22500000000000001</v>
      </c>
      <c r="F30" s="25">
        <f t="shared" si="1"/>
        <v>0.03</v>
      </c>
      <c r="G30" s="26">
        <v>7.89</v>
      </c>
      <c r="H30" s="20">
        <v>4.7600000000000003E-2</v>
      </c>
      <c r="J30" s="105"/>
    </row>
    <row r="31" spans="1:12" s="15" customFormat="1" ht="18.75" customHeight="1" x14ac:dyDescent="0.25">
      <c r="A31" s="16" t="s">
        <v>65</v>
      </c>
      <c r="B31" s="17" t="s">
        <v>63</v>
      </c>
      <c r="C31" s="18" t="s">
        <v>64</v>
      </c>
      <c r="D31" s="19">
        <f t="shared" si="2"/>
        <v>1098.98</v>
      </c>
      <c r="E31" s="106">
        <f t="shared" si="3"/>
        <v>4.7E-2</v>
      </c>
      <c r="F31" s="25">
        <f t="shared" si="1"/>
        <v>0.01</v>
      </c>
      <c r="G31" s="26">
        <v>7.89</v>
      </c>
      <c r="H31" s="20">
        <v>0.01</v>
      </c>
      <c r="J31" s="105"/>
    </row>
    <row r="32" spans="1:12" s="15" customFormat="1" x14ac:dyDescent="0.25">
      <c r="A32" s="16" t="s">
        <v>104</v>
      </c>
      <c r="B32" s="17" t="s">
        <v>66</v>
      </c>
      <c r="C32" s="18" t="s">
        <v>67</v>
      </c>
      <c r="D32" s="19">
        <f t="shared" si="2"/>
        <v>4957.1099999999997</v>
      </c>
      <c r="E32" s="106">
        <f t="shared" si="3"/>
        <v>0.21199999999999999</v>
      </c>
      <c r="F32" s="25">
        <f t="shared" si="1"/>
        <v>0.03</v>
      </c>
      <c r="G32" s="26">
        <v>7.89</v>
      </c>
      <c r="H32" s="20">
        <v>4.4999999999999998E-2</v>
      </c>
      <c r="J32" s="105"/>
    </row>
    <row r="33" spans="1:12" s="15" customFormat="1" x14ac:dyDescent="0.25">
      <c r="A33" s="16" t="s">
        <v>105</v>
      </c>
      <c r="B33" s="17" t="s">
        <v>106</v>
      </c>
      <c r="C33" s="115" t="s">
        <v>101</v>
      </c>
      <c r="D33" s="19">
        <f t="shared" si="2"/>
        <v>27918.82</v>
      </c>
      <c r="E33" s="106">
        <f t="shared" si="3"/>
        <v>1.194</v>
      </c>
      <c r="F33" s="25">
        <f t="shared" si="1"/>
        <v>0.15</v>
      </c>
      <c r="G33" s="26">
        <v>7.89</v>
      </c>
      <c r="H33" s="20">
        <v>0.253</v>
      </c>
      <c r="J33" s="105"/>
    </row>
    <row r="34" spans="1:12" ht="55.5" customHeight="1" x14ac:dyDescent="0.25">
      <c r="A34" s="136">
        <v>5</v>
      </c>
      <c r="B34" s="141" t="s">
        <v>113</v>
      </c>
      <c r="C34" s="139" t="s">
        <v>114</v>
      </c>
      <c r="D34" s="140">
        <v>2240.4</v>
      </c>
      <c r="E34" s="140">
        <f>D34/12/D7</f>
        <v>0.05</v>
      </c>
      <c r="F34" s="12">
        <f>E34*12*2602.7</f>
        <v>1561.62</v>
      </c>
      <c r="G34" s="12">
        <f>D34-F34</f>
        <v>678.78</v>
      </c>
      <c r="I34" s="12"/>
      <c r="L34" s="15"/>
    </row>
    <row r="35" spans="1:12" ht="30" customHeight="1" x14ac:dyDescent="0.25">
      <c r="A35" s="136">
        <v>6</v>
      </c>
      <c r="B35" s="141" t="s">
        <v>91</v>
      </c>
      <c r="C35" s="139" t="s">
        <v>85</v>
      </c>
      <c r="D35" s="138">
        <f>5273.6*2*12</f>
        <v>126566.39999999999</v>
      </c>
      <c r="E35" s="140">
        <f>D35/12/D5</f>
        <v>2.71</v>
      </c>
      <c r="H35" s="2">
        <f>D35/12/D5</f>
        <v>2.7064227245900798</v>
      </c>
      <c r="I35" s="12"/>
    </row>
    <row r="36" spans="1:12" ht="30" customHeight="1" x14ac:dyDescent="0.25">
      <c r="A36" s="136">
        <v>7</v>
      </c>
      <c r="B36" s="141" t="s">
        <v>84</v>
      </c>
      <c r="C36" s="139" t="s">
        <v>85</v>
      </c>
      <c r="D36" s="138">
        <v>29400</v>
      </c>
      <c r="E36" s="138">
        <f>D36/12/$D$5</f>
        <v>0.63</v>
      </c>
      <c r="I36" s="12"/>
    </row>
    <row r="37" spans="1:12" ht="30" customHeight="1" x14ac:dyDescent="0.25">
      <c r="A37" s="136">
        <v>8</v>
      </c>
      <c r="B37" s="141" t="s">
        <v>88</v>
      </c>
      <c r="C37" s="139" t="s">
        <v>85</v>
      </c>
      <c r="D37" s="138">
        <f>2000*12</f>
        <v>24000</v>
      </c>
      <c r="E37" s="138">
        <f>D37/12/$D$5</f>
        <v>0.51</v>
      </c>
      <c r="I37" s="12"/>
    </row>
    <row r="38" spans="1:12" ht="30" customHeight="1" x14ac:dyDescent="0.25">
      <c r="A38" s="136">
        <v>9</v>
      </c>
      <c r="B38" s="187" t="s">
        <v>129</v>
      </c>
      <c r="C38" s="139" t="s">
        <v>130</v>
      </c>
      <c r="D38" s="138">
        <f>E38*12*D5</f>
        <v>149180.99</v>
      </c>
      <c r="E38" s="138">
        <f>1.03+2.16</f>
        <v>3.19</v>
      </c>
      <c r="I38" s="12"/>
    </row>
    <row r="39" spans="1:12" x14ac:dyDescent="0.25">
      <c r="A39" s="136">
        <v>10</v>
      </c>
      <c r="B39" s="142" t="s">
        <v>72</v>
      </c>
      <c r="C39" s="143"/>
      <c r="D39" s="140">
        <f>E39*12*D5</f>
        <v>1038187.44</v>
      </c>
      <c r="E39" s="140">
        <f>SUM(E34:E38,E19,E10:E12)</f>
        <v>22.2</v>
      </c>
      <c r="G39" s="12" t="e">
        <f>E10+#REF!+E11+E19+#REF!+#REF!</f>
        <v>#REF!</v>
      </c>
      <c r="H39" s="12"/>
      <c r="I39" s="12"/>
    </row>
    <row r="40" spans="1:12" ht="129" customHeight="1" x14ac:dyDescent="0.25">
      <c r="A40" s="136">
        <v>11</v>
      </c>
      <c r="B40" s="134" t="s">
        <v>126</v>
      </c>
      <c r="C40" s="135" t="s">
        <v>92</v>
      </c>
      <c r="D40" s="133">
        <f>E40*12*D5</f>
        <v>155728.12</v>
      </c>
      <c r="E40" s="133">
        <f>E39*0.15</f>
        <v>3.33</v>
      </c>
      <c r="F40" s="12">
        <f>E40*12*2602.7</f>
        <v>104003.89</v>
      </c>
      <c r="G40" s="12">
        <f>D40-F40</f>
        <v>51724.23</v>
      </c>
      <c r="H40" s="2">
        <v>19.89</v>
      </c>
      <c r="I40" s="12"/>
    </row>
    <row r="41" spans="1:12" x14ac:dyDescent="0.25">
      <c r="A41" s="136">
        <v>12</v>
      </c>
      <c r="B41" s="142" t="s">
        <v>107</v>
      </c>
      <c r="C41" s="143"/>
      <c r="D41" s="140">
        <f>D39+D40</f>
        <v>1193915.56</v>
      </c>
      <c r="E41" s="140">
        <f>E39+E40</f>
        <v>25.53</v>
      </c>
      <c r="G41" s="12"/>
      <c r="H41" s="12"/>
      <c r="I41" s="12"/>
    </row>
    <row r="42" spans="1:12" s="56" customFormat="1" x14ac:dyDescent="0.25">
      <c r="A42" s="136">
        <v>13</v>
      </c>
      <c r="B42" s="144" t="s">
        <v>76</v>
      </c>
      <c r="C42" s="145"/>
      <c r="D42" s="146">
        <f>D43</f>
        <v>97427.5</v>
      </c>
      <c r="E42" s="171">
        <f>D42/11/$D$5</f>
        <v>2.27</v>
      </c>
      <c r="I42" s="56">
        <v>19.37</v>
      </c>
    </row>
    <row r="43" spans="1:12" s="170" customFormat="1" x14ac:dyDescent="0.25">
      <c r="A43" s="166"/>
      <c r="B43" s="167"/>
      <c r="C43" s="168" t="s">
        <v>135</v>
      </c>
      <c r="D43" s="169">
        <f>107170.25/1.1</f>
        <v>97427.5</v>
      </c>
      <c r="E43" s="153">
        <f>D43/11/$D$5</f>
        <v>2.27</v>
      </c>
    </row>
    <row r="44" spans="1:12" s="56" customFormat="1" ht="126" x14ac:dyDescent="0.25">
      <c r="A44" s="136">
        <v>14</v>
      </c>
      <c r="B44" s="100" t="s">
        <v>73</v>
      </c>
      <c r="C44" s="54" t="s">
        <v>77</v>
      </c>
      <c r="D44" s="101">
        <f>D42*0.1</f>
        <v>9742.75</v>
      </c>
      <c r="E44" s="102">
        <f>D44/11/$D$5</f>
        <v>0.23</v>
      </c>
    </row>
    <row r="45" spans="1:12" s="56" customFormat="1" x14ac:dyDescent="0.25">
      <c r="A45" s="136">
        <v>15</v>
      </c>
      <c r="B45" s="144" t="s">
        <v>78</v>
      </c>
      <c r="C45" s="145"/>
      <c r="D45" s="146">
        <f>SUM(D42,D44)</f>
        <v>107170.25</v>
      </c>
      <c r="E45" s="146">
        <f>SUM(E42,E44)</f>
        <v>2.5</v>
      </c>
    </row>
    <row r="46" spans="1:12" s="56" customFormat="1" x14ac:dyDescent="0.25">
      <c r="A46" s="136">
        <v>16</v>
      </c>
      <c r="B46" s="144" t="s">
        <v>79</v>
      </c>
      <c r="C46" s="145"/>
      <c r="D46" s="146">
        <f>D41+D45</f>
        <v>1301085.81</v>
      </c>
      <c r="E46" s="146">
        <f>E41+E45</f>
        <v>28.03</v>
      </c>
      <c r="I46" s="75">
        <f>E41/I42</f>
        <v>1.3180000000000001</v>
      </c>
    </row>
    <row r="47" spans="1:12" x14ac:dyDescent="0.25">
      <c r="A47" s="3">
        <v>17</v>
      </c>
      <c r="B47" s="193" t="s">
        <v>136</v>
      </c>
      <c r="C47" s="193" t="s">
        <v>137</v>
      </c>
      <c r="D47" s="194">
        <f>E47*12*D5</f>
        <v>9820.69</v>
      </c>
      <c r="E47" s="194">
        <v>0.21</v>
      </c>
    </row>
    <row r="49" spans="2:3" x14ac:dyDescent="0.25">
      <c r="B49" s="52" t="s">
        <v>80</v>
      </c>
      <c r="C49" s="51" t="s">
        <v>81</v>
      </c>
    </row>
    <row r="50" spans="2:3" x14ac:dyDescent="0.25">
      <c r="B50" s="52"/>
      <c r="C50" s="52"/>
    </row>
    <row r="51" spans="2:3" x14ac:dyDescent="0.25">
      <c r="C51" s="109"/>
    </row>
    <row r="52" spans="2:3" x14ac:dyDescent="0.25">
      <c r="B52" s="52" t="s">
        <v>82</v>
      </c>
      <c r="C52" s="103" t="s">
        <v>83</v>
      </c>
    </row>
  </sheetData>
  <mergeCells count="9">
    <mergeCell ref="D1:F1"/>
    <mergeCell ref="B2:E2"/>
    <mergeCell ref="C3:E3"/>
    <mergeCell ref="C4:E4"/>
    <mergeCell ref="C5:C9"/>
    <mergeCell ref="D5:E5"/>
    <mergeCell ref="D6:E6"/>
    <mergeCell ref="D7:E7"/>
    <mergeCell ref="D8:E8"/>
  </mergeCells>
  <phoneticPr fontId="7" type="noConversion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view="pageBreakPreview" topLeftCell="B25" zoomScale="60" zoomScaleNormal="62" workbookViewId="0">
      <selection activeCell="E46" sqref="E46"/>
    </sheetView>
  </sheetViews>
  <sheetFormatPr defaultColWidth="10.28515625" defaultRowHeight="15.75" x14ac:dyDescent="0.25"/>
  <cols>
    <col min="1" max="1" width="6.140625" style="1" customWidth="1"/>
    <col min="2" max="2" width="93.42578125" style="2" customWidth="1"/>
    <col min="3" max="3" width="75.42578125" style="2" customWidth="1"/>
    <col min="4" max="4" width="17" style="2" customWidth="1"/>
    <col min="5" max="5" width="18.28515625" style="2" customWidth="1"/>
    <col min="6" max="6" width="7.85546875" style="2" hidden="1" customWidth="1"/>
    <col min="7" max="7" width="7" style="2" hidden="1" customWidth="1"/>
    <col min="8" max="8" width="0" style="2" hidden="1" customWidth="1"/>
    <col min="9" max="9" width="10.5703125" style="2" bestFit="1" customWidth="1"/>
    <col min="10" max="10" width="10.28515625" style="2" customWidth="1"/>
    <col min="11" max="11" width="14.140625" style="105" customWidth="1"/>
    <col min="12" max="16384" width="10.28515625" style="2"/>
  </cols>
  <sheetData>
    <row r="1" spans="1:13" ht="92.25" customHeight="1" x14ac:dyDescent="0.25">
      <c r="D1" s="199" t="s">
        <v>118</v>
      </c>
      <c r="E1" s="199"/>
      <c r="F1" s="200"/>
    </row>
    <row r="2" spans="1:13" ht="42.75" customHeight="1" x14ac:dyDescent="0.25">
      <c r="B2" s="201" t="s">
        <v>125</v>
      </c>
      <c r="C2" s="201"/>
      <c r="D2" s="201"/>
      <c r="E2" s="201"/>
    </row>
    <row r="3" spans="1:13" ht="19.5" customHeight="1" x14ac:dyDescent="0.25">
      <c r="A3" s="3"/>
      <c r="B3" s="4" t="s">
        <v>0</v>
      </c>
      <c r="C3" s="202" t="s">
        <v>90</v>
      </c>
      <c r="D3" s="203"/>
      <c r="E3" s="203"/>
      <c r="I3" s="5"/>
    </row>
    <row r="4" spans="1:13" ht="51.75" hidden="1" customHeight="1" x14ac:dyDescent="0.25">
      <c r="A4" s="3"/>
      <c r="B4" s="4" t="s">
        <v>1</v>
      </c>
      <c r="C4" s="204" t="s">
        <v>2</v>
      </c>
      <c r="D4" s="203"/>
      <c r="E4" s="203"/>
    </row>
    <row r="5" spans="1:13" ht="21" customHeight="1" x14ac:dyDescent="0.25">
      <c r="A5" s="3"/>
      <c r="B5" s="6" t="s">
        <v>3</v>
      </c>
      <c r="C5" s="205" t="s">
        <v>4</v>
      </c>
      <c r="D5" s="206">
        <f>SUM(D7:E8)</f>
        <v>6500.7</v>
      </c>
      <c r="E5" s="207"/>
      <c r="I5" s="5"/>
    </row>
    <row r="6" spans="1:13" ht="14.25" hidden="1" customHeight="1" x14ac:dyDescent="0.25">
      <c r="A6" s="3"/>
      <c r="B6" s="6" t="s">
        <v>5</v>
      </c>
      <c r="C6" s="205"/>
      <c r="D6" s="204">
        <v>3048.1</v>
      </c>
      <c r="E6" s="207"/>
    </row>
    <row r="7" spans="1:13" x14ac:dyDescent="0.25">
      <c r="A7" s="3"/>
      <c r="B7" s="6" t="s">
        <v>6</v>
      </c>
      <c r="C7" s="205"/>
      <c r="D7" s="206">
        <v>6500.7</v>
      </c>
      <c r="E7" s="206"/>
    </row>
    <row r="8" spans="1:13" x14ac:dyDescent="0.25">
      <c r="A8" s="3"/>
      <c r="B8" s="6" t="s">
        <v>7</v>
      </c>
      <c r="C8" s="205"/>
      <c r="D8" s="206">
        <v>0</v>
      </c>
      <c r="E8" s="208"/>
    </row>
    <row r="9" spans="1:13" ht="54" customHeight="1" x14ac:dyDescent="0.25">
      <c r="A9" s="3"/>
      <c r="B9" s="7" t="s">
        <v>8</v>
      </c>
      <c r="C9" s="205"/>
      <c r="D9" s="6" t="s">
        <v>9</v>
      </c>
      <c r="E9" s="8" t="s">
        <v>10</v>
      </c>
    </row>
    <row r="10" spans="1:13" ht="189" customHeight="1" x14ac:dyDescent="0.25">
      <c r="A10" s="3">
        <v>1</v>
      </c>
      <c r="B10" s="9" t="s">
        <v>11</v>
      </c>
      <c r="C10" s="10" t="s">
        <v>131</v>
      </c>
      <c r="D10" s="11">
        <f>E10*12*D5</f>
        <v>607685.43999999994</v>
      </c>
      <c r="E10" s="11">
        <v>7.79</v>
      </c>
      <c r="F10" s="12">
        <f>E10*12*2602.7</f>
        <v>243300.4</v>
      </c>
      <c r="G10" s="12">
        <f>D10-F10</f>
        <v>364385.04</v>
      </c>
      <c r="J10" s="12"/>
    </row>
    <row r="11" spans="1:13" ht="33.75" customHeight="1" x14ac:dyDescent="0.25">
      <c r="A11" s="3">
        <v>2</v>
      </c>
      <c r="B11" s="9" t="s">
        <v>12</v>
      </c>
      <c r="C11" s="13" t="s">
        <v>13</v>
      </c>
      <c r="D11" s="11">
        <f>E11*D5*12</f>
        <v>66307.14</v>
      </c>
      <c r="E11" s="11">
        <v>0.85</v>
      </c>
      <c r="F11" s="12">
        <f>E11*12*2602.7</f>
        <v>26547.54</v>
      </c>
      <c r="G11" s="12">
        <f>D11-F11</f>
        <v>39759.599999999999</v>
      </c>
      <c r="J11" s="12"/>
    </row>
    <row r="12" spans="1:13" ht="29.25" customHeight="1" x14ac:dyDescent="0.25">
      <c r="A12" s="3">
        <v>3</v>
      </c>
      <c r="B12" s="9" t="s">
        <v>14</v>
      </c>
      <c r="C12" s="9"/>
      <c r="D12" s="14">
        <f>E12*D5*12</f>
        <v>219983.69</v>
      </c>
      <c r="E12" s="14">
        <v>2.82</v>
      </c>
      <c r="F12" s="12">
        <f>E12*12*2602.7</f>
        <v>88075.37</v>
      </c>
      <c r="G12" s="12">
        <f>D12-F12</f>
        <v>131908.32</v>
      </c>
      <c r="J12" s="12"/>
      <c r="L12" s="15"/>
      <c r="M12" s="15"/>
    </row>
    <row r="13" spans="1:13" s="69" customFormat="1" x14ac:dyDescent="0.25">
      <c r="A13" s="70" t="s">
        <v>15</v>
      </c>
      <c r="B13" s="71" t="s">
        <v>16</v>
      </c>
      <c r="C13" s="60" t="s">
        <v>17</v>
      </c>
      <c r="D13" s="72">
        <f t="shared" ref="D13:D19" si="0">E13*12*$D$5</f>
        <v>78788.479999999996</v>
      </c>
      <c r="E13" s="72">
        <f t="shared" ref="E13:E19" si="1">$E$12*I13</f>
        <v>1.01</v>
      </c>
      <c r="I13" s="73">
        <v>0.35909999999999997</v>
      </c>
    </row>
    <row r="14" spans="1:13" s="69" customFormat="1" x14ac:dyDescent="0.25">
      <c r="A14" s="70" t="s">
        <v>18</v>
      </c>
      <c r="B14" s="71" t="s">
        <v>19</v>
      </c>
      <c r="C14" s="60" t="s">
        <v>20</v>
      </c>
      <c r="D14" s="72">
        <f t="shared" si="0"/>
        <v>55385.96</v>
      </c>
      <c r="E14" s="72">
        <f t="shared" si="1"/>
        <v>0.71</v>
      </c>
      <c r="I14" s="73">
        <v>0.25180000000000002</v>
      </c>
    </row>
    <row r="15" spans="1:13" s="69" customFormat="1" x14ac:dyDescent="0.25">
      <c r="A15" s="74" t="s">
        <v>21</v>
      </c>
      <c r="B15" s="71" t="s">
        <v>22</v>
      </c>
      <c r="C15" s="60" t="s">
        <v>17</v>
      </c>
      <c r="D15" s="72">
        <f t="shared" si="0"/>
        <v>6240.67</v>
      </c>
      <c r="E15" s="72">
        <f t="shared" si="1"/>
        <v>0.08</v>
      </c>
      <c r="I15" s="73">
        <v>0.03</v>
      </c>
    </row>
    <row r="16" spans="1:13" s="69" customFormat="1" x14ac:dyDescent="0.25">
      <c r="A16" s="70" t="s">
        <v>23</v>
      </c>
      <c r="B16" s="71" t="s">
        <v>24</v>
      </c>
      <c r="C16" s="60" t="s">
        <v>25</v>
      </c>
      <c r="D16" s="72">
        <f t="shared" si="0"/>
        <v>44464.79</v>
      </c>
      <c r="E16" s="72">
        <f t="shared" si="1"/>
        <v>0.56999999999999995</v>
      </c>
      <c r="I16" s="73">
        <f>0.2314-0.0298</f>
        <v>0.2016</v>
      </c>
    </row>
    <row r="17" spans="1:13" s="69" customFormat="1" x14ac:dyDescent="0.25">
      <c r="A17" s="70" t="s">
        <v>26</v>
      </c>
      <c r="B17" s="71" t="s">
        <v>27</v>
      </c>
      <c r="C17" s="60" t="s">
        <v>17</v>
      </c>
      <c r="D17" s="72">
        <f t="shared" si="0"/>
        <v>1560.17</v>
      </c>
      <c r="E17" s="72">
        <f t="shared" si="1"/>
        <v>0.02</v>
      </c>
      <c r="I17" s="73">
        <v>6.8999999999999999E-3</v>
      </c>
    </row>
    <row r="18" spans="1:13" s="69" customFormat="1" ht="47.25" x14ac:dyDescent="0.25">
      <c r="A18" s="70" t="s">
        <v>28</v>
      </c>
      <c r="B18" s="71" t="s">
        <v>29</v>
      </c>
      <c r="C18" s="60" t="s">
        <v>30</v>
      </c>
      <c r="D18" s="72">
        <f t="shared" si="0"/>
        <v>31983.439999999999</v>
      </c>
      <c r="E18" s="72">
        <f t="shared" si="1"/>
        <v>0.41</v>
      </c>
      <c r="I18" s="73">
        <v>0.14369999999999999</v>
      </c>
    </row>
    <row r="19" spans="1:13" s="69" customFormat="1" x14ac:dyDescent="0.25">
      <c r="A19" s="70" t="s">
        <v>31</v>
      </c>
      <c r="B19" s="71" t="s">
        <v>32</v>
      </c>
      <c r="C19" s="60" t="s">
        <v>33</v>
      </c>
      <c r="D19" s="72">
        <f t="shared" si="0"/>
        <v>1560.17</v>
      </c>
      <c r="E19" s="72">
        <f t="shared" si="1"/>
        <v>0.02</v>
      </c>
      <c r="I19" s="73">
        <v>6.8999999999999999E-3</v>
      </c>
    </row>
    <row r="20" spans="1:13" ht="31.5" customHeight="1" x14ac:dyDescent="0.25">
      <c r="A20" s="3">
        <v>4</v>
      </c>
      <c r="B20" s="9" t="s">
        <v>34</v>
      </c>
      <c r="C20" s="9"/>
      <c r="D20" s="14">
        <f>D21+D26</f>
        <v>294091.67</v>
      </c>
      <c r="E20" s="14">
        <f>3.89-0.12</f>
        <v>3.77</v>
      </c>
      <c r="F20" s="12" t="s">
        <v>35</v>
      </c>
      <c r="G20" s="12"/>
      <c r="I20" s="22"/>
      <c r="J20" s="12">
        <f>D20/12/D5</f>
        <v>3.77</v>
      </c>
      <c r="M20" s="15"/>
    </row>
    <row r="21" spans="1:13" s="69" customFormat="1" x14ac:dyDescent="0.25">
      <c r="A21" s="70"/>
      <c r="B21" s="76" t="s">
        <v>36</v>
      </c>
      <c r="C21" s="60"/>
      <c r="D21" s="77">
        <f>SUM(D22:D25)</f>
        <v>119352.86</v>
      </c>
      <c r="E21" s="77">
        <f>E20*I21</f>
        <v>3.06</v>
      </c>
      <c r="F21" s="78">
        <f>E21/E20</f>
        <v>0.81</v>
      </c>
      <c r="G21" s="79">
        <v>5.72</v>
      </c>
      <c r="I21" s="80">
        <v>0.81140000000000001</v>
      </c>
    </row>
    <row r="22" spans="1:13" s="69" customFormat="1" ht="31.5" x14ac:dyDescent="0.25">
      <c r="A22" s="74" t="s">
        <v>37</v>
      </c>
      <c r="B22" s="81" t="s">
        <v>38</v>
      </c>
      <c r="C22" s="60" t="s">
        <v>39</v>
      </c>
      <c r="D22" s="72">
        <f>E22*6*$D$5</f>
        <v>60846.55</v>
      </c>
      <c r="E22" s="72">
        <f>$E$21*I22</f>
        <v>1.56</v>
      </c>
      <c r="F22" s="78">
        <f t="shared" ref="F22:F32" si="2">E22/G22</f>
        <v>0.44</v>
      </c>
      <c r="G22" s="79">
        <v>3.55</v>
      </c>
      <c r="H22" s="69">
        <v>0.44</v>
      </c>
      <c r="I22" s="73">
        <f>0.448+0.062</f>
        <v>0.51</v>
      </c>
    </row>
    <row r="23" spans="1:13" s="69" customFormat="1" x14ac:dyDescent="0.25">
      <c r="A23" s="70" t="s">
        <v>40</v>
      </c>
      <c r="B23" s="81" t="s">
        <v>41</v>
      </c>
      <c r="C23" s="60" t="s">
        <v>42</v>
      </c>
      <c r="D23" s="72">
        <f>E23*6*$D$5</f>
        <v>23012.48</v>
      </c>
      <c r="E23" s="72">
        <f>$E$21*I23</f>
        <v>0.59</v>
      </c>
      <c r="F23" s="78">
        <f t="shared" si="2"/>
        <v>0.17</v>
      </c>
      <c r="G23" s="79">
        <v>3.55</v>
      </c>
      <c r="H23" s="69">
        <v>8.7999999999999995E-2</v>
      </c>
      <c r="I23" s="73">
        <f>0.13+0.0625</f>
        <v>0.1925</v>
      </c>
    </row>
    <row r="24" spans="1:13" s="69" customFormat="1" x14ac:dyDescent="0.25">
      <c r="A24" s="70" t="s">
        <v>43</v>
      </c>
      <c r="B24" s="81" t="s">
        <v>44</v>
      </c>
      <c r="C24" s="60" t="s">
        <v>45</v>
      </c>
      <c r="D24" s="72">
        <f>E24*6*$D$5</f>
        <v>14821.6</v>
      </c>
      <c r="E24" s="72">
        <f>$E$21*I24</f>
        <v>0.38</v>
      </c>
      <c r="F24" s="78">
        <f t="shared" si="2"/>
        <v>0.11</v>
      </c>
      <c r="G24" s="79">
        <v>3.55</v>
      </c>
      <c r="H24" s="69">
        <v>0.46010000000000001</v>
      </c>
      <c r="I24" s="73">
        <v>0.125</v>
      </c>
    </row>
    <row r="25" spans="1:13" s="69" customFormat="1" x14ac:dyDescent="0.25">
      <c r="A25" s="70" t="s">
        <v>46</v>
      </c>
      <c r="B25" s="81" t="s">
        <v>47</v>
      </c>
      <c r="C25" s="60" t="s">
        <v>48</v>
      </c>
      <c r="D25" s="72">
        <f>E25*6*$D$5</f>
        <v>20672.23</v>
      </c>
      <c r="E25" s="72">
        <f>$E$21*I25</f>
        <v>0.53</v>
      </c>
      <c r="F25" s="78">
        <f t="shared" si="2"/>
        <v>0.15</v>
      </c>
      <c r="G25" s="79">
        <v>3.55</v>
      </c>
      <c r="H25" s="69">
        <v>8.0000000000000004E-4</v>
      </c>
      <c r="I25" s="73">
        <v>0.17199999999999999</v>
      </c>
    </row>
    <row r="26" spans="1:13" s="69" customFormat="1" x14ac:dyDescent="0.25">
      <c r="A26" s="70"/>
      <c r="B26" s="76" t="s">
        <v>49</v>
      </c>
      <c r="C26" s="60"/>
      <c r="D26" s="77">
        <f>SUM(D27:D32)</f>
        <v>174738.81</v>
      </c>
      <c r="E26" s="77">
        <f>I26*E20</f>
        <v>4.4800000000000004</v>
      </c>
      <c r="F26" s="82">
        <f t="shared" si="2"/>
        <v>0.78321678321678301</v>
      </c>
      <c r="G26" s="79">
        <v>5.72</v>
      </c>
      <c r="I26" s="80">
        <f>2-I21</f>
        <v>1.1886000000000001</v>
      </c>
      <c r="J26" s="83"/>
    </row>
    <row r="27" spans="1:13" s="69" customFormat="1" x14ac:dyDescent="0.25">
      <c r="A27" s="70" t="s">
        <v>50</v>
      </c>
      <c r="B27" s="71" t="s">
        <v>51</v>
      </c>
      <c r="C27" s="60" t="s">
        <v>52</v>
      </c>
      <c r="D27" s="72">
        <f t="shared" ref="D27:D32" si="3">E27*6*$D$5</f>
        <v>85029.16</v>
      </c>
      <c r="E27" s="72">
        <f t="shared" ref="E27:E32" si="4">$E$26*I27</f>
        <v>2.1800000000000002</v>
      </c>
      <c r="F27" s="78">
        <f t="shared" si="2"/>
        <v>0.28000000000000003</v>
      </c>
      <c r="G27" s="79">
        <v>7.89</v>
      </c>
      <c r="H27" s="69">
        <v>0.45450000000000002</v>
      </c>
      <c r="I27" s="20">
        <v>0.48699999999999999</v>
      </c>
    </row>
    <row r="28" spans="1:13" s="69" customFormat="1" x14ac:dyDescent="0.25">
      <c r="A28" s="70" t="s">
        <v>53</v>
      </c>
      <c r="B28" s="71" t="s">
        <v>54</v>
      </c>
      <c r="C28" s="60" t="s">
        <v>55</v>
      </c>
      <c r="D28" s="72">
        <f t="shared" si="3"/>
        <v>36663.949999999997</v>
      </c>
      <c r="E28" s="72">
        <f t="shared" si="4"/>
        <v>0.94</v>
      </c>
      <c r="F28" s="78">
        <f t="shared" si="2"/>
        <v>0.12</v>
      </c>
      <c r="G28" s="79">
        <v>7.89</v>
      </c>
      <c r="H28" s="69">
        <v>0.4632</v>
      </c>
      <c r="I28" s="20">
        <v>0.21</v>
      </c>
      <c r="L28" s="56"/>
      <c r="M28" s="56"/>
    </row>
    <row r="29" spans="1:13" s="69" customFormat="1" x14ac:dyDescent="0.25">
      <c r="A29" s="74" t="s">
        <v>56</v>
      </c>
      <c r="B29" s="71" t="s">
        <v>57</v>
      </c>
      <c r="C29" s="60" t="s">
        <v>58</v>
      </c>
      <c r="D29" s="72">
        <f t="shared" si="3"/>
        <v>14041.51</v>
      </c>
      <c r="E29" s="72">
        <f t="shared" si="4"/>
        <v>0.36</v>
      </c>
      <c r="F29" s="78">
        <f t="shared" si="2"/>
        <v>0.05</v>
      </c>
      <c r="G29" s="79">
        <v>7.89</v>
      </c>
      <c r="H29" s="69">
        <v>1.29E-2</v>
      </c>
      <c r="I29" s="20">
        <v>0.08</v>
      </c>
    </row>
    <row r="30" spans="1:13" s="69" customFormat="1" x14ac:dyDescent="0.25">
      <c r="A30" s="70" t="s">
        <v>102</v>
      </c>
      <c r="B30" s="71" t="s">
        <v>60</v>
      </c>
      <c r="C30" s="60" t="s">
        <v>61</v>
      </c>
      <c r="D30" s="72">
        <f t="shared" si="3"/>
        <v>8580.92</v>
      </c>
      <c r="E30" s="72">
        <f t="shared" si="4"/>
        <v>0.22</v>
      </c>
      <c r="F30" s="78">
        <f t="shared" si="2"/>
        <v>0.03</v>
      </c>
      <c r="G30" s="79">
        <v>7.89</v>
      </c>
      <c r="H30" s="69">
        <v>4.7600000000000003E-2</v>
      </c>
      <c r="I30" s="20">
        <v>0.05</v>
      </c>
    </row>
    <row r="31" spans="1:13" s="69" customFormat="1" x14ac:dyDescent="0.25">
      <c r="A31" s="70" t="s">
        <v>103</v>
      </c>
      <c r="B31" s="71" t="s">
        <v>63</v>
      </c>
      <c r="C31" s="60" t="s">
        <v>64</v>
      </c>
      <c r="D31" s="72">
        <f t="shared" si="3"/>
        <v>2730.29</v>
      </c>
      <c r="E31" s="72">
        <f t="shared" si="4"/>
        <v>7.0000000000000007E-2</v>
      </c>
      <c r="F31" s="78">
        <f t="shared" si="2"/>
        <v>0.01</v>
      </c>
      <c r="G31" s="79">
        <v>7.89</v>
      </c>
      <c r="H31" s="69">
        <v>4.3E-3</v>
      </c>
      <c r="I31" s="20">
        <v>1.4999999999999999E-2</v>
      </c>
    </row>
    <row r="32" spans="1:13" s="69" customFormat="1" x14ac:dyDescent="0.25">
      <c r="A32" s="70" t="s">
        <v>65</v>
      </c>
      <c r="B32" s="71" t="s">
        <v>66</v>
      </c>
      <c r="C32" s="60" t="s">
        <v>67</v>
      </c>
      <c r="D32" s="72">
        <f t="shared" si="3"/>
        <v>27692.98</v>
      </c>
      <c r="E32" s="72">
        <f t="shared" si="4"/>
        <v>0.71</v>
      </c>
      <c r="F32" s="78">
        <f t="shared" si="2"/>
        <v>0.09</v>
      </c>
      <c r="G32" s="79">
        <v>7.89</v>
      </c>
      <c r="H32" s="69">
        <f>1-H27-H28-H29-H30-H31</f>
        <v>1.7500000000000002E-2</v>
      </c>
      <c r="I32" s="20">
        <v>0.158</v>
      </c>
    </row>
    <row r="33" spans="1:13" s="15" customFormat="1" x14ac:dyDescent="0.25">
      <c r="A33" s="16">
        <v>5</v>
      </c>
      <c r="B33" s="154" t="s">
        <v>117</v>
      </c>
      <c r="C33" s="13" t="s">
        <v>17</v>
      </c>
      <c r="D33" s="156">
        <f>E33*12*$D$5</f>
        <v>9361.01</v>
      </c>
      <c r="E33" s="155">
        <v>0.12</v>
      </c>
      <c r="F33" s="151"/>
      <c r="G33" s="152"/>
      <c r="I33" s="20"/>
      <c r="J33" s="148">
        <f t="shared" ref="J33" si="5">E33*$D$5*12</f>
        <v>9361.01</v>
      </c>
      <c r="K33" s="148">
        <f t="shared" ref="K33" si="6">J33-D33</f>
        <v>0</v>
      </c>
    </row>
    <row r="34" spans="1:13" ht="62.25" customHeight="1" x14ac:dyDescent="0.25">
      <c r="A34" s="3">
        <v>6</v>
      </c>
      <c r="B34" s="31" t="s">
        <v>113</v>
      </c>
      <c r="C34" s="13" t="s">
        <v>114</v>
      </c>
      <c r="D34" s="14">
        <v>3938.4</v>
      </c>
      <c r="E34" s="14">
        <v>0.05</v>
      </c>
      <c r="F34" s="12">
        <f>E34*12*2602.7</f>
        <v>1561.62</v>
      </c>
      <c r="G34" s="12">
        <f>D34-F34</f>
        <v>2376.7800000000002</v>
      </c>
      <c r="J34" s="12"/>
      <c r="M34" s="15"/>
    </row>
    <row r="35" spans="1:13" ht="14.25" customHeight="1" x14ac:dyDescent="0.25">
      <c r="A35" s="85">
        <v>7</v>
      </c>
      <c r="B35" s="31" t="s">
        <v>68</v>
      </c>
      <c r="C35" s="33"/>
      <c r="D35" s="14">
        <f>SUM(D36:D37)</f>
        <v>94390.16</v>
      </c>
      <c r="E35" s="14">
        <v>1.21</v>
      </c>
      <c r="I35" s="2">
        <f>D35/12/D5</f>
        <v>1.2099999487234701</v>
      </c>
      <c r="J35" s="12"/>
    </row>
    <row r="36" spans="1:13" s="56" customFormat="1" ht="31.5" x14ac:dyDescent="0.25">
      <c r="A36" s="16" t="s">
        <v>115</v>
      </c>
      <c r="B36" s="87" t="s">
        <v>69</v>
      </c>
      <c r="C36" s="88" t="s">
        <v>17</v>
      </c>
      <c r="D36" s="89">
        <f>E36*12*$D$5</f>
        <v>70207.56</v>
      </c>
      <c r="E36" s="89">
        <f>I36*$E$35</f>
        <v>0.9</v>
      </c>
      <c r="I36" s="90">
        <v>0.74180000000000001</v>
      </c>
    </row>
    <row r="37" spans="1:13" s="56" customFormat="1" x14ac:dyDescent="0.25">
      <c r="A37" s="21" t="s">
        <v>116</v>
      </c>
      <c r="B37" s="91" t="s">
        <v>70</v>
      </c>
      <c r="C37" s="88" t="s">
        <v>64</v>
      </c>
      <c r="D37" s="89">
        <f>E37*12*$D$5</f>
        <v>24182.6</v>
      </c>
      <c r="E37" s="89">
        <f>I37*$E$35</f>
        <v>0.31</v>
      </c>
      <c r="I37" s="90">
        <v>0.25819999999999999</v>
      </c>
    </row>
    <row r="38" spans="1:13" ht="30" customHeight="1" x14ac:dyDescent="0.25">
      <c r="A38" s="32">
        <v>8</v>
      </c>
      <c r="B38" s="31" t="s">
        <v>91</v>
      </c>
      <c r="C38" s="13" t="s">
        <v>85</v>
      </c>
      <c r="D38" s="11">
        <f>4868.79*3*12</f>
        <v>175276.44</v>
      </c>
      <c r="E38" s="11">
        <v>2.25</v>
      </c>
      <c r="J38" s="12"/>
    </row>
    <row r="39" spans="1:13" ht="30" customHeight="1" x14ac:dyDescent="0.25">
      <c r="A39" s="32">
        <v>9</v>
      </c>
      <c r="B39" s="31" t="s">
        <v>84</v>
      </c>
      <c r="C39" s="13" t="s">
        <v>85</v>
      </c>
      <c r="D39" s="11">
        <v>29400</v>
      </c>
      <c r="E39" s="11">
        <f>D39/12/D5</f>
        <v>0.38</v>
      </c>
      <c r="J39" s="12"/>
    </row>
    <row r="40" spans="1:13" ht="30" customHeight="1" x14ac:dyDescent="0.25">
      <c r="A40" s="32">
        <v>10</v>
      </c>
      <c r="B40" s="31" t="s">
        <v>129</v>
      </c>
      <c r="C40" s="13" t="s">
        <v>17</v>
      </c>
      <c r="D40" s="11">
        <f>E40*12*D5</f>
        <v>189560.41</v>
      </c>
      <c r="E40" s="11">
        <f>1.03+1.4</f>
        <v>2.4300000000000002</v>
      </c>
      <c r="I40" s="2">
        <f>2.85/1.13</f>
        <v>2.5221238938053099</v>
      </c>
      <c r="J40" s="12"/>
    </row>
    <row r="41" spans="1:13" x14ac:dyDescent="0.25">
      <c r="A41" s="32">
        <v>11</v>
      </c>
      <c r="B41" s="39" t="s">
        <v>72</v>
      </c>
      <c r="C41" s="33"/>
      <c r="D41" s="14">
        <f>SUM(D38:D40,D33:D35,D20,D10:D12)</f>
        <v>1689994.36</v>
      </c>
      <c r="E41" s="14">
        <f>SUM(E10:E12,E20,E33:E35,E38:E40)</f>
        <v>21.67</v>
      </c>
      <c r="G41" s="12" t="e">
        <f>E10+#REF!+E11+E20+#REF!+#REF!</f>
        <v>#REF!</v>
      </c>
      <c r="I41" s="12"/>
      <c r="J41" s="12"/>
    </row>
    <row r="42" spans="1:13" ht="132.75" customHeight="1" x14ac:dyDescent="0.25">
      <c r="A42" s="32">
        <v>12</v>
      </c>
      <c r="B42" s="41" t="s">
        <v>126</v>
      </c>
      <c r="C42" s="53" t="s">
        <v>92</v>
      </c>
      <c r="D42" s="14">
        <f>E42*12*D5</f>
        <v>253527.3</v>
      </c>
      <c r="E42" s="14">
        <f>E41*0.15</f>
        <v>3.25</v>
      </c>
      <c r="F42" s="12">
        <f>E42*12*2602.7</f>
        <v>101505.3</v>
      </c>
      <c r="G42" s="12">
        <f>D42-F42</f>
        <v>152022</v>
      </c>
      <c r="H42" s="2">
        <f>E42*12*2602.7</f>
        <v>101505.3</v>
      </c>
      <c r="I42" s="2">
        <v>18.920000000000002</v>
      </c>
      <c r="J42" s="12">
        <f>1-I42/E43</f>
        <v>0.24</v>
      </c>
    </row>
    <row r="43" spans="1:13" x14ac:dyDescent="0.25">
      <c r="A43" s="32">
        <v>13</v>
      </c>
      <c r="B43" s="42" t="s">
        <v>93</v>
      </c>
      <c r="C43" s="43"/>
      <c r="D43" s="44">
        <f>D41+D42</f>
        <v>1943521.66</v>
      </c>
      <c r="E43" s="44">
        <f>E41+E42</f>
        <v>24.92</v>
      </c>
      <c r="G43" s="12"/>
      <c r="I43" s="12"/>
      <c r="J43" s="12"/>
    </row>
    <row r="44" spans="1:13" x14ac:dyDescent="0.25">
      <c r="A44" s="32">
        <v>14</v>
      </c>
      <c r="B44" s="39" t="s">
        <v>76</v>
      </c>
      <c r="C44" s="53"/>
      <c r="D44" s="11">
        <f>SUM(D45:D46)</f>
        <v>109861.83</v>
      </c>
      <c r="E44" s="11">
        <f>SUM(E45:E46)</f>
        <v>1.54</v>
      </c>
    </row>
    <row r="45" spans="1:13" x14ac:dyDescent="0.25">
      <c r="A45" s="32">
        <v>15</v>
      </c>
      <c r="B45" s="107"/>
      <c r="C45" s="111" t="s">
        <v>132</v>
      </c>
      <c r="D45" s="47">
        <f>46480.01/1.1</f>
        <v>42254.55</v>
      </c>
      <c r="E45" s="47">
        <f>D45/11/D5</f>
        <v>0.59</v>
      </c>
    </row>
    <row r="46" spans="1:13" x14ac:dyDescent="0.25">
      <c r="A46" s="32">
        <v>16</v>
      </c>
      <c r="B46" s="107"/>
      <c r="C46" s="108" t="s">
        <v>138</v>
      </c>
      <c r="D46" s="47">
        <f>74368.01/1.1</f>
        <v>67607.28</v>
      </c>
      <c r="E46" s="47">
        <f>D46/11/D5</f>
        <v>0.95</v>
      </c>
    </row>
    <row r="47" spans="1:13" ht="126" x14ac:dyDescent="0.25">
      <c r="A47" s="32">
        <v>17</v>
      </c>
      <c r="B47" s="48" t="s">
        <v>73</v>
      </c>
      <c r="C47" s="54" t="s">
        <v>94</v>
      </c>
      <c r="D47" s="46">
        <f>D44*0.1</f>
        <v>10986.18</v>
      </c>
      <c r="E47" s="46">
        <f>E44*0.1</f>
        <v>0.15</v>
      </c>
      <c r="I47" s="12"/>
    </row>
    <row r="48" spans="1:13" x14ac:dyDescent="0.25">
      <c r="A48" s="32">
        <v>18</v>
      </c>
      <c r="B48" s="42" t="s">
        <v>95</v>
      </c>
      <c r="C48" s="53"/>
      <c r="D48" s="14">
        <f>SUM(D44,D47)</f>
        <v>120848.01</v>
      </c>
      <c r="E48" s="14">
        <f>SUM(E44,E47)</f>
        <v>1.69</v>
      </c>
      <c r="I48" s="12"/>
    </row>
    <row r="49" spans="1:9" x14ac:dyDescent="0.25">
      <c r="A49" s="32">
        <v>19</v>
      </c>
      <c r="B49" s="42" t="s">
        <v>79</v>
      </c>
      <c r="C49" s="43"/>
      <c r="D49" s="44">
        <f>SUM(D43,D48)</f>
        <v>2064369.67</v>
      </c>
      <c r="E49" s="44">
        <f>SUM(E43,E48)</f>
        <v>26.61</v>
      </c>
      <c r="I49" s="12"/>
    </row>
    <row r="50" spans="1:9" s="127" customFormat="1" hidden="1" x14ac:dyDescent="0.25">
      <c r="A50" s="32">
        <v>20</v>
      </c>
      <c r="B50" s="123"/>
      <c r="C50" s="124"/>
      <c r="D50" s="125"/>
      <c r="E50" s="126">
        <f>D50/12/D5</f>
        <v>0</v>
      </c>
    </row>
    <row r="52" spans="1:9" x14ac:dyDescent="0.25">
      <c r="B52" s="52" t="s">
        <v>80</v>
      </c>
      <c r="C52" s="51" t="s">
        <v>81</v>
      </c>
    </row>
    <row r="53" spans="1:9" x14ac:dyDescent="0.25">
      <c r="B53" s="52"/>
      <c r="C53" s="52"/>
    </row>
    <row r="54" spans="1:9" x14ac:dyDescent="0.25">
      <c r="C54" s="109"/>
    </row>
    <row r="55" spans="1:9" x14ac:dyDescent="0.25">
      <c r="B55" s="52" t="s">
        <v>82</v>
      </c>
      <c r="C55" s="103" t="s">
        <v>83</v>
      </c>
    </row>
  </sheetData>
  <mergeCells count="9">
    <mergeCell ref="D1:F1"/>
    <mergeCell ref="B2:E2"/>
    <mergeCell ref="C3:E3"/>
    <mergeCell ref="C4:E4"/>
    <mergeCell ref="C5:C9"/>
    <mergeCell ref="D5:E5"/>
    <mergeCell ref="D6:E6"/>
    <mergeCell ref="D7:E7"/>
    <mergeCell ref="D8:E8"/>
  </mergeCells>
  <phoneticPr fontId="7" type="noConversion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topLeftCell="A30" zoomScale="60" zoomScaleNormal="62" workbookViewId="0">
      <selection activeCell="E51" sqref="D51:E51"/>
    </sheetView>
  </sheetViews>
  <sheetFormatPr defaultColWidth="10.28515625" defaultRowHeight="15.75" x14ac:dyDescent="0.25"/>
  <cols>
    <col min="1" max="1" width="6.140625" style="1" customWidth="1"/>
    <col min="2" max="2" width="93.42578125" style="2" customWidth="1"/>
    <col min="3" max="3" width="75.42578125" style="2" customWidth="1"/>
    <col min="4" max="4" width="17" style="2" customWidth="1"/>
    <col min="5" max="5" width="18.28515625" style="2" customWidth="1"/>
    <col min="6" max="6" width="7.85546875" style="2" hidden="1" customWidth="1"/>
    <col min="7" max="7" width="7" style="2" hidden="1" customWidth="1"/>
    <col min="8" max="8" width="0" style="2" hidden="1" customWidth="1"/>
    <col min="9" max="9" width="10.5703125" style="2" bestFit="1" customWidth="1"/>
    <col min="10" max="10" width="10.28515625" style="2" customWidth="1"/>
    <col min="11" max="11" width="13.85546875" style="105" customWidth="1"/>
    <col min="12" max="16384" width="10.28515625" style="2"/>
  </cols>
  <sheetData>
    <row r="1" spans="1:13" ht="92.25" customHeight="1" x14ac:dyDescent="0.25">
      <c r="D1" s="199" t="s">
        <v>118</v>
      </c>
      <c r="E1" s="199"/>
      <c r="F1" s="200"/>
    </row>
    <row r="2" spans="1:13" ht="42.75" customHeight="1" x14ac:dyDescent="0.25">
      <c r="B2" s="201" t="s">
        <v>127</v>
      </c>
      <c r="C2" s="201"/>
      <c r="D2" s="201"/>
      <c r="E2" s="201"/>
    </row>
    <row r="3" spans="1:13" ht="19.5" customHeight="1" x14ac:dyDescent="0.25">
      <c r="A3" s="3"/>
      <c r="B3" s="4" t="s">
        <v>0</v>
      </c>
      <c r="C3" s="202" t="s">
        <v>96</v>
      </c>
      <c r="D3" s="203"/>
      <c r="E3" s="203"/>
      <c r="I3" s="5"/>
    </row>
    <row r="4" spans="1:13" ht="51.75" hidden="1" customHeight="1" x14ac:dyDescent="0.25">
      <c r="A4" s="3"/>
      <c r="B4" s="4" t="s">
        <v>1</v>
      </c>
      <c r="C4" s="204" t="s">
        <v>2</v>
      </c>
      <c r="D4" s="203"/>
      <c r="E4" s="203"/>
    </row>
    <row r="5" spans="1:13" ht="21" customHeight="1" x14ac:dyDescent="0.25">
      <c r="A5" s="3"/>
      <c r="B5" s="6" t="s">
        <v>3</v>
      </c>
      <c r="C5" s="205" t="s">
        <v>4</v>
      </c>
      <c r="D5" s="206">
        <f>SUM(D7:E8)</f>
        <v>6403.9</v>
      </c>
      <c r="E5" s="207"/>
      <c r="I5" s="5"/>
    </row>
    <row r="6" spans="1:13" ht="14.25" hidden="1" customHeight="1" x14ac:dyDescent="0.25">
      <c r="A6" s="3"/>
      <c r="B6" s="6" t="s">
        <v>5</v>
      </c>
      <c r="C6" s="205"/>
      <c r="D6" s="204">
        <v>3048.1</v>
      </c>
      <c r="E6" s="207"/>
    </row>
    <row r="7" spans="1:13" x14ac:dyDescent="0.25">
      <c r="A7" s="3"/>
      <c r="B7" s="6" t="s">
        <v>6</v>
      </c>
      <c r="C7" s="205"/>
      <c r="D7" s="206">
        <v>6403.9</v>
      </c>
      <c r="E7" s="206"/>
    </row>
    <row r="8" spans="1:13" x14ac:dyDescent="0.25">
      <c r="A8" s="3"/>
      <c r="B8" s="6" t="s">
        <v>7</v>
      </c>
      <c r="C8" s="205"/>
      <c r="D8" s="206">
        <v>0</v>
      </c>
      <c r="E8" s="208"/>
    </row>
    <row r="9" spans="1:13" ht="54" customHeight="1" x14ac:dyDescent="0.25">
      <c r="A9" s="3"/>
      <c r="B9" s="7" t="s">
        <v>8</v>
      </c>
      <c r="C9" s="205"/>
      <c r="D9" s="6" t="s">
        <v>9</v>
      </c>
      <c r="E9" s="8" t="s">
        <v>10</v>
      </c>
    </row>
    <row r="10" spans="1:13" ht="209.25" customHeight="1" x14ac:dyDescent="0.25">
      <c r="A10" s="3">
        <v>1</v>
      </c>
      <c r="B10" s="9" t="s">
        <v>11</v>
      </c>
      <c r="C10" s="10" t="s">
        <v>131</v>
      </c>
      <c r="D10" s="11">
        <f>E10*12*D5</f>
        <v>607089.72</v>
      </c>
      <c r="E10" s="11">
        <v>7.9</v>
      </c>
      <c r="F10" s="12">
        <f>E10*12*2602.7</f>
        <v>246735.96</v>
      </c>
      <c r="G10" s="12">
        <f>D10-F10</f>
        <v>360353.76</v>
      </c>
      <c r="J10" s="12"/>
    </row>
    <row r="11" spans="1:13" ht="33.75" customHeight="1" x14ac:dyDescent="0.25">
      <c r="A11" s="3">
        <v>2</v>
      </c>
      <c r="B11" s="9" t="s">
        <v>12</v>
      </c>
      <c r="C11" s="13" t="s">
        <v>13</v>
      </c>
      <c r="D11" s="11">
        <f>E11*D5*12</f>
        <v>65319.78</v>
      </c>
      <c r="E11" s="11">
        <v>0.85</v>
      </c>
      <c r="F11" s="12">
        <f>E11*12*2602.7</f>
        <v>26547.54</v>
      </c>
      <c r="G11" s="12">
        <f>D11-F11</f>
        <v>38772.239999999998</v>
      </c>
      <c r="J11" s="12"/>
    </row>
    <row r="12" spans="1:13" ht="29.25" customHeight="1" x14ac:dyDescent="0.25">
      <c r="A12" s="3">
        <v>3</v>
      </c>
      <c r="B12" s="9" t="s">
        <v>14</v>
      </c>
      <c r="C12" s="9"/>
      <c r="D12" s="14">
        <f>E12*D5*12</f>
        <v>215939.51</v>
      </c>
      <c r="E12" s="14">
        <v>2.81</v>
      </c>
      <c r="F12" s="12">
        <f>E12*12*2602.7</f>
        <v>87763.04</v>
      </c>
      <c r="G12" s="12">
        <f>D12-F12</f>
        <v>128176.47</v>
      </c>
      <c r="I12" s="2">
        <f>D12/12/D5</f>
        <v>2.81000002602581</v>
      </c>
      <c r="J12" s="12"/>
      <c r="L12" s="15"/>
      <c r="M12" s="15"/>
    </row>
    <row r="13" spans="1:13" s="69" customFormat="1" x14ac:dyDescent="0.25">
      <c r="A13" s="70" t="s">
        <v>15</v>
      </c>
      <c r="B13" s="71" t="s">
        <v>16</v>
      </c>
      <c r="C13" s="60" t="s">
        <v>17</v>
      </c>
      <c r="D13" s="72">
        <f t="shared" ref="D13:D19" si="0">E13*12*$D$5</f>
        <v>77615.27</v>
      </c>
      <c r="E13" s="72">
        <f t="shared" ref="E13:E19" si="1">$E$12*I13</f>
        <v>1.01</v>
      </c>
      <c r="I13" s="73">
        <v>0.35909999999999997</v>
      </c>
    </row>
    <row r="14" spans="1:13" s="69" customFormat="1" x14ac:dyDescent="0.25">
      <c r="A14" s="70" t="s">
        <v>18</v>
      </c>
      <c r="B14" s="71" t="s">
        <v>19</v>
      </c>
      <c r="C14" s="60" t="s">
        <v>20</v>
      </c>
      <c r="D14" s="72">
        <f t="shared" si="0"/>
        <v>54561.23</v>
      </c>
      <c r="E14" s="72">
        <f t="shared" si="1"/>
        <v>0.71</v>
      </c>
      <c r="I14" s="73">
        <v>0.25180000000000002</v>
      </c>
    </row>
    <row r="15" spans="1:13" s="69" customFormat="1" x14ac:dyDescent="0.25">
      <c r="A15" s="74" t="s">
        <v>21</v>
      </c>
      <c r="B15" s="71" t="s">
        <v>22</v>
      </c>
      <c r="C15" s="60" t="s">
        <v>17</v>
      </c>
      <c r="D15" s="72">
        <f t="shared" si="0"/>
        <v>6147.74</v>
      </c>
      <c r="E15" s="72">
        <f t="shared" si="1"/>
        <v>0.08</v>
      </c>
      <c r="I15" s="73">
        <v>0.03</v>
      </c>
    </row>
    <row r="16" spans="1:13" s="69" customFormat="1" x14ac:dyDescent="0.25">
      <c r="A16" s="70" t="s">
        <v>23</v>
      </c>
      <c r="B16" s="71" t="s">
        <v>24</v>
      </c>
      <c r="C16" s="60" t="s">
        <v>25</v>
      </c>
      <c r="D16" s="72">
        <f t="shared" si="0"/>
        <v>43802.68</v>
      </c>
      <c r="E16" s="72">
        <f t="shared" si="1"/>
        <v>0.56999999999999995</v>
      </c>
      <c r="I16" s="73">
        <f>0.2314-0.0298</f>
        <v>0.2016</v>
      </c>
    </row>
    <row r="17" spans="1:13" s="69" customFormat="1" x14ac:dyDescent="0.25">
      <c r="A17" s="70" t="s">
        <v>26</v>
      </c>
      <c r="B17" s="71" t="s">
        <v>27</v>
      </c>
      <c r="C17" s="60" t="s">
        <v>17</v>
      </c>
      <c r="D17" s="72">
        <f t="shared" si="0"/>
        <v>1536.94</v>
      </c>
      <c r="E17" s="72">
        <f t="shared" si="1"/>
        <v>0.02</v>
      </c>
      <c r="I17" s="73">
        <v>6.8999999999999999E-3</v>
      </c>
    </row>
    <row r="18" spans="1:13" s="69" customFormat="1" ht="47.25" x14ac:dyDescent="0.25">
      <c r="A18" s="70" t="s">
        <v>28</v>
      </c>
      <c r="B18" s="71" t="s">
        <v>29</v>
      </c>
      <c r="C18" s="60" t="s">
        <v>30</v>
      </c>
      <c r="D18" s="72">
        <f t="shared" si="0"/>
        <v>30738.720000000001</v>
      </c>
      <c r="E18" s="72">
        <f t="shared" si="1"/>
        <v>0.4</v>
      </c>
      <c r="I18" s="73">
        <v>0.14369999999999999</v>
      </c>
    </row>
    <row r="19" spans="1:13" s="69" customFormat="1" x14ac:dyDescent="0.25">
      <c r="A19" s="70" t="s">
        <v>31</v>
      </c>
      <c r="B19" s="71" t="s">
        <v>32</v>
      </c>
      <c r="C19" s="60" t="s">
        <v>33</v>
      </c>
      <c r="D19" s="72">
        <f t="shared" si="0"/>
        <v>1536.94</v>
      </c>
      <c r="E19" s="72">
        <f t="shared" si="1"/>
        <v>0.02</v>
      </c>
      <c r="I19" s="73">
        <v>6.8999999999999999E-3</v>
      </c>
    </row>
    <row r="20" spans="1:13" ht="31.5" customHeight="1" x14ac:dyDescent="0.25">
      <c r="A20" s="3">
        <v>4</v>
      </c>
      <c r="B20" s="9" t="s">
        <v>34</v>
      </c>
      <c r="C20" s="9"/>
      <c r="D20" s="14">
        <f>D21+D26</f>
        <v>288559.73</v>
      </c>
      <c r="E20" s="14">
        <f>3.87-0.12</f>
        <v>3.75</v>
      </c>
      <c r="F20" s="12" t="s">
        <v>35</v>
      </c>
      <c r="G20" s="12"/>
      <c r="I20" s="22"/>
      <c r="J20" s="12"/>
      <c r="M20" s="15"/>
    </row>
    <row r="21" spans="1:13" s="69" customFormat="1" x14ac:dyDescent="0.25">
      <c r="A21" s="70"/>
      <c r="B21" s="76" t="s">
        <v>36</v>
      </c>
      <c r="C21" s="60"/>
      <c r="D21" s="77">
        <f>SUM(D22:D25)</f>
        <v>116807.13</v>
      </c>
      <c r="E21" s="77">
        <f>E20*I21</f>
        <v>3.04</v>
      </c>
      <c r="F21" s="78">
        <f>E21/E20</f>
        <v>0.81</v>
      </c>
      <c r="G21" s="79">
        <v>5.72</v>
      </c>
      <c r="I21" s="80">
        <v>0.81140000000000001</v>
      </c>
    </row>
    <row r="22" spans="1:13" s="69" customFormat="1" ht="31.5" x14ac:dyDescent="0.25">
      <c r="A22" s="74" t="s">
        <v>37</v>
      </c>
      <c r="B22" s="81" t="s">
        <v>38</v>
      </c>
      <c r="C22" s="60" t="s">
        <v>39</v>
      </c>
      <c r="D22" s="72">
        <f>E22*6*$D$5</f>
        <v>52255.82</v>
      </c>
      <c r="E22" s="72">
        <f>$E$21*I22</f>
        <v>1.36</v>
      </c>
      <c r="F22" s="78">
        <f t="shared" ref="F22:F32" si="2">E22/G22</f>
        <v>0.38</v>
      </c>
      <c r="G22" s="79">
        <v>3.55</v>
      </c>
      <c r="H22" s="69">
        <v>0.44</v>
      </c>
      <c r="I22" s="73">
        <v>0.44700000000000001</v>
      </c>
    </row>
    <row r="23" spans="1:13" s="69" customFormat="1" x14ac:dyDescent="0.25">
      <c r="A23" s="70" t="s">
        <v>40</v>
      </c>
      <c r="B23" s="81" t="s">
        <v>41</v>
      </c>
      <c r="C23" s="60" t="s">
        <v>42</v>
      </c>
      <c r="D23" s="72">
        <f>E23*6*$D$5</f>
        <v>15369.36</v>
      </c>
      <c r="E23" s="72">
        <f>$E$21*I23</f>
        <v>0.4</v>
      </c>
      <c r="F23" s="78">
        <f t="shared" si="2"/>
        <v>0.11</v>
      </c>
      <c r="G23" s="79">
        <v>3.55</v>
      </c>
      <c r="H23" s="69">
        <v>8.7999999999999995E-2</v>
      </c>
      <c r="I23" s="73">
        <f>0.13</f>
        <v>0.13</v>
      </c>
    </row>
    <row r="24" spans="1:13" s="69" customFormat="1" x14ac:dyDescent="0.25">
      <c r="A24" s="70" t="s">
        <v>43</v>
      </c>
      <c r="B24" s="81" t="s">
        <v>44</v>
      </c>
      <c r="C24" s="60" t="s">
        <v>45</v>
      </c>
      <c r="D24" s="72">
        <f>E24*6*$D$5</f>
        <v>29201.78</v>
      </c>
      <c r="E24" s="72">
        <f>$E$21*I24</f>
        <v>0.76</v>
      </c>
      <c r="F24" s="78">
        <f t="shared" si="2"/>
        <v>0.21</v>
      </c>
      <c r="G24" s="79">
        <v>3.55</v>
      </c>
      <c r="H24" s="69">
        <v>0.46010000000000001</v>
      </c>
      <c r="I24" s="73">
        <v>0.25</v>
      </c>
    </row>
    <row r="25" spans="1:13" s="69" customFormat="1" x14ac:dyDescent="0.25">
      <c r="A25" s="70" t="s">
        <v>46</v>
      </c>
      <c r="B25" s="81" t="s">
        <v>47</v>
      </c>
      <c r="C25" s="60" t="s">
        <v>48</v>
      </c>
      <c r="D25" s="72">
        <f>E25*6*$D$5</f>
        <v>19980.169999999998</v>
      </c>
      <c r="E25" s="72">
        <f>$E$21*I25</f>
        <v>0.52</v>
      </c>
      <c r="F25" s="78">
        <f t="shared" si="2"/>
        <v>0.15</v>
      </c>
      <c r="G25" s="79">
        <v>3.55</v>
      </c>
      <c r="H25" s="69">
        <v>8.0000000000000004E-4</v>
      </c>
      <c r="I25" s="73">
        <v>0.17199999999999999</v>
      </c>
    </row>
    <row r="26" spans="1:13" s="69" customFormat="1" x14ac:dyDescent="0.25">
      <c r="A26" s="70"/>
      <c r="B26" s="76" t="s">
        <v>49</v>
      </c>
      <c r="C26" s="60"/>
      <c r="D26" s="77">
        <f>SUM(D27:D32)</f>
        <v>171752.6</v>
      </c>
      <c r="E26" s="77">
        <f>I26*E20</f>
        <v>4.46</v>
      </c>
      <c r="F26" s="82">
        <f t="shared" si="2"/>
        <v>0.77972027972028002</v>
      </c>
      <c r="G26" s="79">
        <v>5.72</v>
      </c>
      <c r="I26" s="80">
        <f>2-I21</f>
        <v>1.1886000000000001</v>
      </c>
      <c r="J26" s="83"/>
    </row>
    <row r="27" spans="1:13" s="69" customFormat="1" x14ac:dyDescent="0.25">
      <c r="A27" s="70" t="s">
        <v>50</v>
      </c>
      <c r="B27" s="71" t="s">
        <v>51</v>
      </c>
      <c r="C27" s="60" t="s">
        <v>52</v>
      </c>
      <c r="D27" s="72">
        <f t="shared" ref="D27:D32" si="3">E27*6*$D$5</f>
        <v>83763.009999999995</v>
      </c>
      <c r="E27" s="72">
        <f t="shared" ref="E27:E32" si="4">$E$26*I27</f>
        <v>2.1800000000000002</v>
      </c>
      <c r="F27" s="78">
        <f t="shared" si="2"/>
        <v>0.28000000000000003</v>
      </c>
      <c r="G27" s="79">
        <v>7.89</v>
      </c>
      <c r="H27" s="69">
        <v>0.45450000000000002</v>
      </c>
      <c r="I27" s="20">
        <v>0.48799999999999999</v>
      </c>
    </row>
    <row r="28" spans="1:13" s="69" customFormat="1" x14ac:dyDescent="0.25">
      <c r="A28" s="70" t="s">
        <v>53</v>
      </c>
      <c r="B28" s="71" t="s">
        <v>54</v>
      </c>
      <c r="C28" s="60" t="s">
        <v>55</v>
      </c>
      <c r="D28" s="72">
        <f t="shared" si="3"/>
        <v>36118</v>
      </c>
      <c r="E28" s="72">
        <f t="shared" si="4"/>
        <v>0.94</v>
      </c>
      <c r="F28" s="78">
        <f t="shared" si="2"/>
        <v>0.12</v>
      </c>
      <c r="G28" s="79">
        <v>7.89</v>
      </c>
      <c r="H28" s="69">
        <v>0.4632</v>
      </c>
      <c r="I28" s="20">
        <v>0.21</v>
      </c>
      <c r="L28" s="56"/>
      <c r="M28" s="56"/>
    </row>
    <row r="29" spans="1:13" s="69" customFormat="1" x14ac:dyDescent="0.25">
      <c r="A29" s="74" t="s">
        <v>56</v>
      </c>
      <c r="B29" s="71" t="s">
        <v>57</v>
      </c>
      <c r="C29" s="60" t="s">
        <v>58</v>
      </c>
      <c r="D29" s="72">
        <f t="shared" si="3"/>
        <v>13832.42</v>
      </c>
      <c r="E29" s="72">
        <f t="shared" si="4"/>
        <v>0.36</v>
      </c>
      <c r="F29" s="78">
        <f t="shared" si="2"/>
        <v>0.05</v>
      </c>
      <c r="G29" s="79">
        <v>7.89</v>
      </c>
      <c r="H29" s="69">
        <v>1.29E-2</v>
      </c>
      <c r="I29" s="20">
        <v>0.08</v>
      </c>
    </row>
    <row r="30" spans="1:13" s="69" customFormat="1" x14ac:dyDescent="0.25">
      <c r="A30" s="70" t="s">
        <v>102</v>
      </c>
      <c r="B30" s="71" t="s">
        <v>60</v>
      </c>
      <c r="C30" s="60" t="s">
        <v>61</v>
      </c>
      <c r="D30" s="72">
        <f t="shared" si="3"/>
        <v>8453.15</v>
      </c>
      <c r="E30" s="72">
        <f t="shared" si="4"/>
        <v>0.22</v>
      </c>
      <c r="F30" s="78">
        <f t="shared" si="2"/>
        <v>0.03</v>
      </c>
      <c r="G30" s="79">
        <v>7.89</v>
      </c>
      <c r="H30" s="69">
        <v>4.7600000000000003E-2</v>
      </c>
      <c r="I30" s="20">
        <v>0.05</v>
      </c>
    </row>
    <row r="31" spans="1:13" s="69" customFormat="1" x14ac:dyDescent="0.25">
      <c r="A31" s="70" t="s">
        <v>103</v>
      </c>
      <c r="B31" s="71" t="s">
        <v>63</v>
      </c>
      <c r="C31" s="60" t="s">
        <v>64</v>
      </c>
      <c r="D31" s="72">
        <f t="shared" si="3"/>
        <v>2689.64</v>
      </c>
      <c r="E31" s="72">
        <f t="shared" si="4"/>
        <v>7.0000000000000007E-2</v>
      </c>
      <c r="F31" s="78">
        <f t="shared" si="2"/>
        <v>0.01</v>
      </c>
      <c r="G31" s="79">
        <v>7.89</v>
      </c>
      <c r="H31" s="69">
        <v>4.3E-3</v>
      </c>
      <c r="I31" s="20">
        <v>1.4999999999999999E-2</v>
      </c>
    </row>
    <row r="32" spans="1:13" s="69" customFormat="1" x14ac:dyDescent="0.25">
      <c r="A32" s="70" t="s">
        <v>65</v>
      </c>
      <c r="B32" s="71" t="s">
        <v>66</v>
      </c>
      <c r="C32" s="60" t="s">
        <v>67</v>
      </c>
      <c r="D32" s="72">
        <f t="shared" si="3"/>
        <v>26896.38</v>
      </c>
      <c r="E32" s="72">
        <f t="shared" si="4"/>
        <v>0.7</v>
      </c>
      <c r="F32" s="78">
        <f t="shared" si="2"/>
        <v>0.09</v>
      </c>
      <c r="G32" s="79">
        <v>7.89</v>
      </c>
      <c r="H32" s="69">
        <f>1-H27-H28-H29-H30-H31</f>
        <v>1.7500000000000002E-2</v>
      </c>
      <c r="I32" s="20">
        <v>0.158</v>
      </c>
    </row>
    <row r="33" spans="1:13" s="15" customFormat="1" x14ac:dyDescent="0.25">
      <c r="A33" s="16">
        <v>5</v>
      </c>
      <c r="B33" s="154" t="s">
        <v>117</v>
      </c>
      <c r="C33" s="13" t="s">
        <v>17</v>
      </c>
      <c r="D33" s="156">
        <f>E33*12*$D$5</f>
        <v>9221.6200000000008</v>
      </c>
      <c r="E33" s="155">
        <v>0.12</v>
      </c>
      <c r="F33" s="151"/>
      <c r="G33" s="152"/>
      <c r="I33" s="20"/>
      <c r="J33" s="148">
        <f t="shared" ref="J33" si="5">E33*$D$5*12</f>
        <v>9221.6200000000008</v>
      </c>
      <c r="K33" s="148">
        <f t="shared" ref="K33" si="6">J33-D33</f>
        <v>0</v>
      </c>
    </row>
    <row r="34" spans="1:13" ht="68.25" customHeight="1" x14ac:dyDescent="0.25">
      <c r="A34" s="3">
        <v>6</v>
      </c>
      <c r="B34" s="31" t="s">
        <v>113</v>
      </c>
      <c r="C34" s="13" t="s">
        <v>114</v>
      </c>
      <c r="D34" s="14">
        <v>4002</v>
      </c>
      <c r="E34" s="14">
        <f>D34/12/$D$5</f>
        <v>0.05</v>
      </c>
      <c r="F34" s="12">
        <f>E34*12*2602.7</f>
        <v>1561.62</v>
      </c>
      <c r="G34" s="12">
        <f>D34-F34</f>
        <v>2440.38</v>
      </c>
      <c r="J34" s="12"/>
      <c r="M34" s="15"/>
    </row>
    <row r="35" spans="1:13" ht="14.25" customHeight="1" x14ac:dyDescent="0.25">
      <c r="A35" s="85">
        <v>7</v>
      </c>
      <c r="B35" s="31" t="s">
        <v>68</v>
      </c>
      <c r="C35" s="33"/>
      <c r="D35" s="14">
        <f>SUM(D36:D37)</f>
        <v>86068.41</v>
      </c>
      <c r="E35" s="14">
        <v>1.1200000000000001</v>
      </c>
      <c r="I35" s="2">
        <f>D35/12/D5</f>
        <v>1.11999992192258</v>
      </c>
      <c r="J35" s="12"/>
    </row>
    <row r="36" spans="1:13" s="56" customFormat="1" ht="31.5" x14ac:dyDescent="0.25">
      <c r="A36" s="16" t="s">
        <v>115</v>
      </c>
      <c r="B36" s="87" t="s">
        <v>69</v>
      </c>
      <c r="C36" s="88" t="s">
        <v>17</v>
      </c>
      <c r="D36" s="89">
        <f>E36*12*$D$5</f>
        <v>63782.84</v>
      </c>
      <c r="E36" s="89">
        <f>I36*$E$35</f>
        <v>0.83</v>
      </c>
      <c r="I36" s="90">
        <v>0.74180000000000001</v>
      </c>
    </row>
    <row r="37" spans="1:13" s="56" customFormat="1" x14ac:dyDescent="0.25">
      <c r="A37" s="21" t="s">
        <v>116</v>
      </c>
      <c r="B37" s="91" t="s">
        <v>70</v>
      </c>
      <c r="C37" s="88" t="s">
        <v>64</v>
      </c>
      <c r="D37" s="89">
        <f>E37*12*$D$5</f>
        <v>22285.57</v>
      </c>
      <c r="E37" s="89">
        <f>I37*$E$35</f>
        <v>0.28999999999999998</v>
      </c>
      <c r="I37" s="90">
        <v>0.25819999999999999</v>
      </c>
    </row>
    <row r="38" spans="1:13" ht="30" customHeight="1" x14ac:dyDescent="0.25">
      <c r="A38" s="32">
        <v>8</v>
      </c>
      <c r="B38" s="31" t="s">
        <v>91</v>
      </c>
      <c r="C38" s="13" t="s">
        <v>85</v>
      </c>
      <c r="D38" s="11">
        <f>5273.6*3*12</f>
        <v>189849.60000000001</v>
      </c>
      <c r="E38" s="11">
        <v>2.4700000000000002</v>
      </c>
      <c r="I38" s="2">
        <f>D38/12/D5</f>
        <v>2.4704945423882299</v>
      </c>
      <c r="J38" s="12"/>
    </row>
    <row r="39" spans="1:13" ht="30" customHeight="1" x14ac:dyDescent="0.25">
      <c r="A39" s="32">
        <v>9</v>
      </c>
      <c r="B39" s="31" t="s">
        <v>84</v>
      </c>
      <c r="C39" s="13" t="s">
        <v>85</v>
      </c>
      <c r="D39" s="11">
        <v>29400</v>
      </c>
      <c r="E39" s="11">
        <f>D39/12/D5</f>
        <v>0.38</v>
      </c>
      <c r="J39" s="12"/>
    </row>
    <row r="40" spans="1:13" ht="30" customHeight="1" x14ac:dyDescent="0.25">
      <c r="A40" s="32"/>
      <c r="B40" s="31" t="s">
        <v>129</v>
      </c>
      <c r="C40" s="13" t="s">
        <v>17</v>
      </c>
      <c r="D40" s="11">
        <f>E40*12*D5</f>
        <v>188274.66</v>
      </c>
      <c r="E40" s="11">
        <f>1.03+1.42</f>
        <v>2.4500000000000002</v>
      </c>
      <c r="I40" s="2">
        <f>2.87/1.13</f>
        <v>2.5398230088495599</v>
      </c>
      <c r="J40" s="12"/>
    </row>
    <row r="41" spans="1:13" x14ac:dyDescent="0.25">
      <c r="A41" s="32">
        <v>10</v>
      </c>
      <c r="B41" s="39" t="s">
        <v>72</v>
      </c>
      <c r="C41" s="33"/>
      <c r="D41" s="14">
        <f>E41*12*D5</f>
        <v>1682944.92</v>
      </c>
      <c r="E41" s="14">
        <f>SUM(E38:E40,E33:E35,E20,E10:E12)</f>
        <v>21.9</v>
      </c>
      <c r="G41" s="12" t="e">
        <f>E10+#REF!+E11+E20+#REF!+#REF!</f>
        <v>#REF!</v>
      </c>
      <c r="I41" s="12"/>
      <c r="J41" s="12"/>
    </row>
    <row r="42" spans="1:13" ht="130.5" customHeight="1" x14ac:dyDescent="0.25">
      <c r="A42" s="32">
        <v>11</v>
      </c>
      <c r="B42" s="41" t="s">
        <v>126</v>
      </c>
      <c r="C42" s="53" t="s">
        <v>92</v>
      </c>
      <c r="D42" s="14">
        <f>E42*12*D5</f>
        <v>252825.97</v>
      </c>
      <c r="E42" s="14">
        <f>E41*0.15</f>
        <v>3.29</v>
      </c>
      <c r="F42" s="12">
        <f>E42*12*2602.7</f>
        <v>102754.6</v>
      </c>
      <c r="G42" s="12">
        <f>D42-F42</f>
        <v>150071.37</v>
      </c>
      <c r="H42" s="2">
        <f>E42*12*2602.7</f>
        <v>102754.59600000001</v>
      </c>
      <c r="I42" s="2">
        <v>19.100000000000001</v>
      </c>
      <c r="J42" s="12">
        <f>1-I42/E43</f>
        <v>0.24</v>
      </c>
    </row>
    <row r="43" spans="1:13" x14ac:dyDescent="0.25">
      <c r="A43" s="32">
        <v>12</v>
      </c>
      <c r="B43" s="189" t="s">
        <v>75</v>
      </c>
      <c r="C43" s="190"/>
      <c r="D43" s="191">
        <f>E43*12*D5</f>
        <v>1935770.89</v>
      </c>
      <c r="E43" s="191">
        <f>E41+E42</f>
        <v>25.19</v>
      </c>
      <c r="G43" s="12"/>
      <c r="I43" s="12"/>
      <c r="J43" s="12"/>
    </row>
    <row r="44" spans="1:13" x14ac:dyDescent="0.25">
      <c r="A44" s="32">
        <v>13</v>
      </c>
      <c r="B44" s="39" t="s">
        <v>76</v>
      </c>
      <c r="C44" s="53"/>
      <c r="D44" s="11">
        <f>SUM(D45:D47)</f>
        <v>82610.31</v>
      </c>
      <c r="E44" s="11">
        <f>SUM(E45:E47)</f>
        <v>1.17</v>
      </c>
    </row>
    <row r="45" spans="1:13" x14ac:dyDescent="0.25">
      <c r="A45" s="32">
        <v>14</v>
      </c>
      <c r="B45" s="107"/>
      <c r="C45" s="111" t="s">
        <v>132</v>
      </c>
      <c r="D45" s="47">
        <f>23246.16/1.1</f>
        <v>21132.87</v>
      </c>
      <c r="E45" s="47">
        <f>D45/11/D5</f>
        <v>0.3</v>
      </c>
    </row>
    <row r="46" spans="1:13" x14ac:dyDescent="0.25">
      <c r="A46" s="32"/>
      <c r="B46" s="107"/>
      <c r="C46" s="108" t="s">
        <v>139</v>
      </c>
      <c r="D46" s="47">
        <f>58467.61/1.1</f>
        <v>53152.37</v>
      </c>
      <c r="E46" s="47">
        <f>D46/11/D5</f>
        <v>0.75</v>
      </c>
    </row>
    <row r="47" spans="1:13" x14ac:dyDescent="0.25">
      <c r="A47" s="32"/>
      <c r="B47" s="107"/>
      <c r="C47" s="108" t="s">
        <v>140</v>
      </c>
      <c r="D47" s="47">
        <f>9157.58/1.1</f>
        <v>8325.07</v>
      </c>
      <c r="E47" s="47">
        <f>D47/11/D5</f>
        <v>0.12</v>
      </c>
    </row>
    <row r="48" spans="1:13" ht="126" x14ac:dyDescent="0.25">
      <c r="A48" s="32">
        <v>15</v>
      </c>
      <c r="B48" s="48" t="s">
        <v>126</v>
      </c>
      <c r="C48" s="54" t="s">
        <v>94</v>
      </c>
      <c r="D48" s="46">
        <f>D44*0.1</f>
        <v>8261.0300000000007</v>
      </c>
      <c r="E48" s="46">
        <f>E44*0.1</f>
        <v>0.12</v>
      </c>
    </row>
    <row r="49" spans="1:5" x14ac:dyDescent="0.25">
      <c r="A49" s="32">
        <v>16</v>
      </c>
      <c r="B49" s="42" t="s">
        <v>95</v>
      </c>
      <c r="C49" s="53"/>
      <c r="D49" s="14">
        <f>SUM(D44,D48)</f>
        <v>90871.34</v>
      </c>
      <c r="E49" s="14">
        <f>SUM(E44,E48)</f>
        <v>1.29</v>
      </c>
    </row>
    <row r="50" spans="1:5" x14ac:dyDescent="0.25">
      <c r="A50" s="32">
        <v>17</v>
      </c>
      <c r="B50" s="42" t="s">
        <v>79</v>
      </c>
      <c r="C50" s="43"/>
      <c r="D50" s="44">
        <f>SUM(D43,D49)</f>
        <v>2026642.23</v>
      </c>
      <c r="E50" s="44">
        <f>SUM(E43,E49)</f>
        <v>26.48</v>
      </c>
    </row>
    <row r="51" spans="1:5" x14ac:dyDescent="0.25">
      <c r="A51" s="3">
        <v>18</v>
      </c>
      <c r="B51" s="193" t="s">
        <v>136</v>
      </c>
      <c r="C51" s="193" t="s">
        <v>141</v>
      </c>
      <c r="D51" s="194">
        <f>E51*4*D5</f>
        <v>35861.839999999997</v>
      </c>
      <c r="E51" s="194">
        <v>1.4</v>
      </c>
    </row>
    <row r="55" spans="1:5" x14ac:dyDescent="0.25">
      <c r="B55" s="52" t="s">
        <v>80</v>
      </c>
      <c r="C55" s="51" t="s">
        <v>81</v>
      </c>
    </row>
    <row r="56" spans="1:5" x14ac:dyDescent="0.25">
      <c r="C56" s="109"/>
    </row>
    <row r="57" spans="1:5" x14ac:dyDescent="0.25">
      <c r="B57" s="52" t="s">
        <v>82</v>
      </c>
      <c r="C57" s="103" t="s">
        <v>83</v>
      </c>
    </row>
  </sheetData>
  <mergeCells count="9">
    <mergeCell ref="D1:F1"/>
    <mergeCell ref="B2:E2"/>
    <mergeCell ref="C3:E3"/>
    <mergeCell ref="C4:E4"/>
    <mergeCell ref="C5:C9"/>
    <mergeCell ref="D5:E5"/>
    <mergeCell ref="D6:E6"/>
    <mergeCell ref="D7:E7"/>
    <mergeCell ref="D8:E8"/>
  </mergeCells>
  <phoneticPr fontId="7" type="noConversion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topLeftCell="A17" zoomScale="60" zoomScaleNormal="64" workbookViewId="0">
      <selection activeCell="D35" sqref="D35"/>
    </sheetView>
  </sheetViews>
  <sheetFormatPr defaultColWidth="10.28515625" defaultRowHeight="15.75" x14ac:dyDescent="0.25"/>
  <cols>
    <col min="1" max="1" width="5.85546875" style="1" customWidth="1"/>
    <col min="2" max="2" width="85.140625" style="2" customWidth="1"/>
    <col min="3" max="3" width="75.42578125" style="2" customWidth="1"/>
    <col min="4" max="4" width="17" style="2" customWidth="1"/>
    <col min="5" max="5" width="15.42578125" style="2" customWidth="1"/>
    <col min="6" max="6" width="7.85546875" style="2" hidden="1" customWidth="1"/>
    <col min="7" max="7" width="7" style="2" hidden="1" customWidth="1"/>
    <col min="8" max="8" width="0" style="2" hidden="1" customWidth="1"/>
    <col min="9" max="9" width="14" style="2" bestFit="1" customWidth="1"/>
    <col min="10" max="10" width="10.28515625" style="2" customWidth="1"/>
    <col min="11" max="11" width="14.7109375" style="2" customWidth="1"/>
    <col min="12" max="16384" width="10.28515625" style="2"/>
  </cols>
  <sheetData>
    <row r="1" spans="1:13" ht="81" customHeight="1" x14ac:dyDescent="0.25">
      <c r="D1" s="199" t="s">
        <v>118</v>
      </c>
      <c r="E1" s="199"/>
      <c r="F1" s="200"/>
    </row>
    <row r="2" spans="1:13" x14ac:dyDescent="0.25">
      <c r="B2" s="201" t="s">
        <v>128</v>
      </c>
      <c r="C2" s="201"/>
      <c r="D2" s="201"/>
      <c r="E2" s="201"/>
    </row>
    <row r="3" spans="1:13" x14ac:dyDescent="0.25">
      <c r="A3" s="3"/>
      <c r="B3" s="4" t="s">
        <v>0</v>
      </c>
      <c r="C3" s="202" t="s">
        <v>111</v>
      </c>
      <c r="D3" s="203"/>
      <c r="E3" s="203"/>
      <c r="I3" s="5"/>
    </row>
    <row r="4" spans="1:13" x14ac:dyDescent="0.25">
      <c r="A4" s="3"/>
      <c r="B4" s="6" t="s">
        <v>3</v>
      </c>
      <c r="C4" s="205" t="s">
        <v>4</v>
      </c>
      <c r="D4" s="206">
        <f>SUM(D5:E6)</f>
        <v>13605.5</v>
      </c>
      <c r="E4" s="208"/>
      <c r="I4" s="5"/>
    </row>
    <row r="5" spans="1:13" x14ac:dyDescent="0.25">
      <c r="A5" s="3"/>
      <c r="B5" s="6" t="s">
        <v>6</v>
      </c>
      <c r="C5" s="205"/>
      <c r="D5" s="206">
        <v>13605.5</v>
      </c>
      <c r="E5" s="206"/>
    </row>
    <row r="6" spans="1:13" x14ac:dyDescent="0.25">
      <c r="A6" s="3"/>
      <c r="B6" s="6" t="s">
        <v>7</v>
      </c>
      <c r="C6" s="205"/>
      <c r="D6" s="206"/>
      <c r="E6" s="208"/>
    </row>
    <row r="7" spans="1:13" ht="78.75" x14ac:dyDescent="0.25">
      <c r="A7" s="3"/>
      <c r="B7" s="7" t="s">
        <v>8</v>
      </c>
      <c r="C7" s="205"/>
      <c r="D7" s="6" t="s">
        <v>9</v>
      </c>
      <c r="E7" s="8" t="s">
        <v>10</v>
      </c>
    </row>
    <row r="8" spans="1:13" ht="157.5" x14ac:dyDescent="0.25">
      <c r="A8" s="3">
        <v>1</v>
      </c>
      <c r="B8" s="9" t="s">
        <v>11</v>
      </c>
      <c r="C8" s="10" t="s">
        <v>131</v>
      </c>
      <c r="D8" s="11">
        <f>E8*12*D4</f>
        <v>1338781.2</v>
      </c>
      <c r="E8" s="11">
        <v>8.1999999999999993</v>
      </c>
      <c r="F8" s="12">
        <f>E8*12*2602.7</f>
        <v>256105.68</v>
      </c>
      <c r="G8" s="12">
        <f>D8-F8</f>
        <v>1082675.52</v>
      </c>
      <c r="J8" s="12"/>
    </row>
    <row r="9" spans="1:13" ht="31.5" x14ac:dyDescent="0.25">
      <c r="A9" s="3">
        <v>2</v>
      </c>
      <c r="B9" s="9" t="s">
        <v>12</v>
      </c>
      <c r="C9" s="13" t="s">
        <v>13</v>
      </c>
      <c r="D9" s="11">
        <f>E9*D4*12</f>
        <v>138776.1</v>
      </c>
      <c r="E9" s="11">
        <v>0.85</v>
      </c>
      <c r="F9" s="12">
        <f>E9*12*2602.7</f>
        <v>26547.54</v>
      </c>
      <c r="G9" s="12">
        <f>D9-F9</f>
        <v>112228.56</v>
      </c>
      <c r="J9" s="12"/>
    </row>
    <row r="10" spans="1:13" x14ac:dyDescent="0.25">
      <c r="A10" s="3">
        <v>3</v>
      </c>
      <c r="B10" s="9" t="s">
        <v>14</v>
      </c>
      <c r="C10" s="9"/>
      <c r="D10" s="14">
        <f>E10*D4*12</f>
        <v>442450.86</v>
      </c>
      <c r="E10" s="14">
        <v>2.71</v>
      </c>
      <c r="F10" s="12">
        <f>E10*12*2602.7</f>
        <v>84639.8</v>
      </c>
      <c r="G10" s="12">
        <f>D10-F10</f>
        <v>357811.06</v>
      </c>
      <c r="I10" s="2">
        <f>D10/12/D4</f>
        <v>2.71</v>
      </c>
      <c r="J10" s="12"/>
      <c r="L10" s="15"/>
      <c r="M10" s="15"/>
    </row>
    <row r="11" spans="1:13" s="15" customFormat="1" x14ac:dyDescent="0.25">
      <c r="A11" s="16" t="s">
        <v>15</v>
      </c>
      <c r="B11" s="17" t="s">
        <v>16</v>
      </c>
      <c r="C11" s="18" t="s">
        <v>17</v>
      </c>
      <c r="D11" s="19">
        <f t="shared" ref="D11:D17" si="0">E11*12*$D$4</f>
        <v>158368.01999999999</v>
      </c>
      <c r="E11" s="19">
        <f t="shared" ref="E11:E17" si="1">$E$10*I11</f>
        <v>0.97</v>
      </c>
      <c r="I11" s="20">
        <v>0.35909999999999997</v>
      </c>
    </row>
    <row r="12" spans="1:13" s="15" customFormat="1" x14ac:dyDescent="0.25">
      <c r="A12" s="16" t="s">
        <v>18</v>
      </c>
      <c r="B12" s="17" t="s">
        <v>19</v>
      </c>
      <c r="C12" s="18" t="s">
        <v>20</v>
      </c>
      <c r="D12" s="19">
        <f t="shared" si="0"/>
        <v>111020.88</v>
      </c>
      <c r="E12" s="19">
        <f t="shared" si="1"/>
        <v>0.68</v>
      </c>
      <c r="I12" s="20">
        <v>0.25180000000000002</v>
      </c>
    </row>
    <row r="13" spans="1:13" s="15" customFormat="1" x14ac:dyDescent="0.25">
      <c r="A13" s="21" t="s">
        <v>21</v>
      </c>
      <c r="B13" s="17" t="s">
        <v>22</v>
      </c>
      <c r="C13" s="18" t="s">
        <v>17</v>
      </c>
      <c r="D13" s="19">
        <f t="shared" si="0"/>
        <v>13061.28</v>
      </c>
      <c r="E13" s="19">
        <f t="shared" si="1"/>
        <v>0.08</v>
      </c>
      <c r="I13" s="20">
        <v>0.03</v>
      </c>
    </row>
    <row r="14" spans="1:13" s="15" customFormat="1" x14ac:dyDescent="0.25">
      <c r="A14" s="16" t="s">
        <v>23</v>
      </c>
      <c r="B14" s="17" t="s">
        <v>24</v>
      </c>
      <c r="C14" s="18" t="s">
        <v>25</v>
      </c>
      <c r="D14" s="19">
        <f t="shared" si="0"/>
        <v>89796.3</v>
      </c>
      <c r="E14" s="19">
        <f t="shared" si="1"/>
        <v>0.55000000000000004</v>
      </c>
      <c r="I14" s="20">
        <f>0.2314-0.0298</f>
        <v>0.2016</v>
      </c>
    </row>
    <row r="15" spans="1:13" s="15" customFormat="1" x14ac:dyDescent="0.25">
      <c r="A15" s="16" t="s">
        <v>26</v>
      </c>
      <c r="B15" s="17" t="s">
        <v>27</v>
      </c>
      <c r="C15" s="18" t="s">
        <v>17</v>
      </c>
      <c r="D15" s="19">
        <f t="shared" si="0"/>
        <v>3265.32</v>
      </c>
      <c r="E15" s="19">
        <f t="shared" si="1"/>
        <v>0.02</v>
      </c>
      <c r="I15" s="20">
        <v>6.8999999999999999E-3</v>
      </c>
    </row>
    <row r="16" spans="1:13" s="15" customFormat="1" ht="47.25" x14ac:dyDescent="0.25">
      <c r="A16" s="16" t="s">
        <v>28</v>
      </c>
      <c r="B16" s="17" t="s">
        <v>29</v>
      </c>
      <c r="C16" s="18" t="s">
        <v>30</v>
      </c>
      <c r="D16" s="19">
        <f t="shared" si="0"/>
        <v>63673.74</v>
      </c>
      <c r="E16" s="19">
        <f t="shared" si="1"/>
        <v>0.39</v>
      </c>
      <c r="I16" s="20">
        <v>0.14369999999999999</v>
      </c>
    </row>
    <row r="17" spans="1:13" s="15" customFormat="1" x14ac:dyDescent="0.25">
      <c r="A17" s="16" t="s">
        <v>31</v>
      </c>
      <c r="B17" s="17" t="s">
        <v>32</v>
      </c>
      <c r="C17" s="18" t="s">
        <v>33</v>
      </c>
      <c r="D17" s="19">
        <f t="shared" si="0"/>
        <v>3265.32</v>
      </c>
      <c r="E17" s="19">
        <f t="shared" si="1"/>
        <v>0.02</v>
      </c>
      <c r="I17" s="20">
        <v>6.8999999999999999E-3</v>
      </c>
    </row>
    <row r="18" spans="1:13" x14ac:dyDescent="0.25">
      <c r="A18" s="3">
        <v>4</v>
      </c>
      <c r="B18" s="9" t="s">
        <v>34</v>
      </c>
      <c r="C18" s="9"/>
      <c r="D18" s="14">
        <f>SUM(D24,D19)</f>
        <v>541226.79</v>
      </c>
      <c r="E18" s="14">
        <f>3.44-0.12</f>
        <v>3.32</v>
      </c>
      <c r="F18" s="12" t="s">
        <v>35</v>
      </c>
      <c r="G18" s="12"/>
      <c r="I18" s="22">
        <f>D18/12/D4</f>
        <v>3.3149999999999999</v>
      </c>
      <c r="J18" s="12"/>
      <c r="M18" s="15"/>
    </row>
    <row r="19" spans="1:13" s="15" customFormat="1" x14ac:dyDescent="0.25">
      <c r="A19" s="16"/>
      <c r="B19" s="23" t="s">
        <v>36</v>
      </c>
      <c r="C19" s="18"/>
      <c r="D19" s="24">
        <f>SUM(D20:D23)</f>
        <v>257960.28</v>
      </c>
      <c r="E19" s="24">
        <f>E18*I19</f>
        <v>3.17</v>
      </c>
      <c r="F19" s="25">
        <f>E19/E18</f>
        <v>0.95</v>
      </c>
      <c r="G19" s="26">
        <v>5.72</v>
      </c>
      <c r="I19" s="27">
        <v>0.95509999999999995</v>
      </c>
    </row>
    <row r="20" spans="1:13" s="15" customFormat="1" ht="31.5" x14ac:dyDescent="0.25">
      <c r="A20" s="21" t="s">
        <v>37</v>
      </c>
      <c r="B20" s="28" t="s">
        <v>38</v>
      </c>
      <c r="C20" s="18" t="s">
        <v>39</v>
      </c>
      <c r="D20" s="19">
        <f>E20*6*$D$4</f>
        <v>97143.27</v>
      </c>
      <c r="E20" s="19">
        <f>$E$19*I20</f>
        <v>1.19</v>
      </c>
      <c r="F20" s="25">
        <f t="shared" ref="F20:F30" si="2">E20/G20</f>
        <v>0.34</v>
      </c>
      <c r="G20" s="26">
        <v>3.55</v>
      </c>
      <c r="H20" s="15">
        <v>0.44</v>
      </c>
      <c r="I20" s="20">
        <v>0.376</v>
      </c>
    </row>
    <row r="21" spans="1:13" s="15" customFormat="1" x14ac:dyDescent="0.25">
      <c r="A21" s="16" t="s">
        <v>40</v>
      </c>
      <c r="B21" s="28" t="s">
        <v>41</v>
      </c>
      <c r="C21" s="18" t="s">
        <v>42</v>
      </c>
      <c r="D21" s="19">
        <f>E21*6*$D$4</f>
        <v>20408.25</v>
      </c>
      <c r="E21" s="19">
        <f>$E$19*I21</f>
        <v>0.25</v>
      </c>
      <c r="F21" s="25">
        <f t="shared" si="2"/>
        <v>7.0000000000000007E-2</v>
      </c>
      <c r="G21" s="26">
        <v>3.55</v>
      </c>
      <c r="H21" s="15">
        <v>8.7999999999999995E-2</v>
      </c>
      <c r="I21" s="20">
        <v>0.08</v>
      </c>
    </row>
    <row r="22" spans="1:13" s="15" customFormat="1" x14ac:dyDescent="0.25">
      <c r="A22" s="16" t="s">
        <v>43</v>
      </c>
      <c r="B22" s="28" t="s">
        <v>44</v>
      </c>
      <c r="C22" s="18" t="s">
        <v>45</v>
      </c>
      <c r="D22" s="19">
        <f>E22*6*$D$4</f>
        <v>95510.61</v>
      </c>
      <c r="E22" s="19">
        <f>$E$19*I22</f>
        <v>1.17</v>
      </c>
      <c r="F22" s="25">
        <f t="shared" si="2"/>
        <v>0.33</v>
      </c>
      <c r="G22" s="26">
        <v>3.55</v>
      </c>
      <c r="H22" s="15">
        <v>0.46010000000000001</v>
      </c>
      <c r="I22" s="20">
        <v>0.37</v>
      </c>
    </row>
    <row r="23" spans="1:13" s="15" customFormat="1" x14ac:dyDescent="0.25">
      <c r="A23" s="16" t="s">
        <v>46</v>
      </c>
      <c r="B23" s="28" t="s">
        <v>47</v>
      </c>
      <c r="C23" s="18" t="s">
        <v>48</v>
      </c>
      <c r="D23" s="19">
        <f>E23*6*$D$4</f>
        <v>44898.15</v>
      </c>
      <c r="E23" s="19">
        <f>$E$19*I23</f>
        <v>0.55000000000000004</v>
      </c>
      <c r="F23" s="25">
        <f t="shared" si="2"/>
        <v>0.15</v>
      </c>
      <c r="G23" s="26">
        <v>3.55</v>
      </c>
      <c r="H23" s="15">
        <v>8.0000000000000004E-4</v>
      </c>
      <c r="I23" s="20">
        <v>0.17199999999999999</v>
      </c>
    </row>
    <row r="24" spans="1:13" s="15" customFormat="1" x14ac:dyDescent="0.25">
      <c r="A24" s="16"/>
      <c r="B24" s="23" t="s">
        <v>49</v>
      </c>
      <c r="C24" s="18"/>
      <c r="D24" s="24">
        <f>SUM(D25:D30)</f>
        <v>283266.51</v>
      </c>
      <c r="E24" s="24">
        <f>I24*E18</f>
        <v>3.47</v>
      </c>
      <c r="F24" s="29">
        <f t="shared" si="2"/>
        <v>0.606643356643357</v>
      </c>
      <c r="G24" s="26">
        <v>5.72</v>
      </c>
      <c r="I24" s="27">
        <f>2-I19</f>
        <v>1.0448999999999999</v>
      </c>
      <c r="J24" s="30"/>
    </row>
    <row r="25" spans="1:13" s="15" customFormat="1" x14ac:dyDescent="0.25">
      <c r="A25" s="16" t="s">
        <v>50</v>
      </c>
      <c r="B25" s="17" t="s">
        <v>51</v>
      </c>
      <c r="C25" s="18" t="s">
        <v>52</v>
      </c>
      <c r="D25" s="19">
        <f t="shared" ref="D25:D30" si="3">E25*6*$D$4</f>
        <v>137959.76999999999</v>
      </c>
      <c r="E25" s="19">
        <f t="shared" ref="E25:E30" si="4">$E$24*I25</f>
        <v>1.69</v>
      </c>
      <c r="F25" s="25">
        <f t="shared" si="2"/>
        <v>0.21</v>
      </c>
      <c r="G25" s="26">
        <v>7.89</v>
      </c>
      <c r="H25" s="15">
        <v>0.45450000000000002</v>
      </c>
      <c r="I25" s="20">
        <v>0.48699999999999999</v>
      </c>
    </row>
    <row r="26" spans="1:13" s="15" customFormat="1" x14ac:dyDescent="0.25">
      <c r="A26" s="16" t="s">
        <v>53</v>
      </c>
      <c r="B26" s="17" t="s">
        <v>54</v>
      </c>
      <c r="C26" s="18" t="s">
        <v>55</v>
      </c>
      <c r="D26" s="19">
        <f t="shared" si="3"/>
        <v>59592.09</v>
      </c>
      <c r="E26" s="19">
        <f t="shared" si="4"/>
        <v>0.73</v>
      </c>
      <c r="F26" s="25">
        <f t="shared" si="2"/>
        <v>0.09</v>
      </c>
      <c r="G26" s="26">
        <v>7.89</v>
      </c>
      <c r="H26" s="15">
        <v>0.4632</v>
      </c>
      <c r="I26" s="20">
        <v>0.21</v>
      </c>
      <c r="L26" s="2"/>
      <c r="M26" s="2"/>
    </row>
    <row r="27" spans="1:13" s="15" customFormat="1" ht="31.5" x14ac:dyDescent="0.25">
      <c r="A27" s="21" t="s">
        <v>56</v>
      </c>
      <c r="B27" s="17" t="s">
        <v>57</v>
      </c>
      <c r="C27" s="18" t="s">
        <v>58</v>
      </c>
      <c r="D27" s="19">
        <f t="shared" si="3"/>
        <v>22857.24</v>
      </c>
      <c r="E27" s="19">
        <f t="shared" si="4"/>
        <v>0.28000000000000003</v>
      </c>
      <c r="F27" s="25">
        <f t="shared" si="2"/>
        <v>0.04</v>
      </c>
      <c r="G27" s="26">
        <v>7.89</v>
      </c>
      <c r="H27" s="15">
        <v>1.29E-2</v>
      </c>
      <c r="I27" s="20">
        <v>0.08</v>
      </c>
    </row>
    <row r="28" spans="1:13" s="15" customFormat="1" x14ac:dyDescent="0.25">
      <c r="A28" s="16" t="s">
        <v>102</v>
      </c>
      <c r="B28" s="17" t="s">
        <v>60</v>
      </c>
      <c r="C28" s="18" t="s">
        <v>61</v>
      </c>
      <c r="D28" s="19">
        <f t="shared" si="3"/>
        <v>13877.61</v>
      </c>
      <c r="E28" s="19">
        <f t="shared" si="4"/>
        <v>0.17</v>
      </c>
      <c r="F28" s="25">
        <f t="shared" si="2"/>
        <v>0.02</v>
      </c>
      <c r="G28" s="26">
        <v>7.89</v>
      </c>
      <c r="H28" s="15">
        <v>4.7600000000000003E-2</v>
      </c>
      <c r="I28" s="20">
        <v>0.05</v>
      </c>
    </row>
    <row r="29" spans="1:13" s="15" customFormat="1" x14ac:dyDescent="0.25">
      <c r="A29" s="16" t="s">
        <v>103</v>
      </c>
      <c r="B29" s="17" t="s">
        <v>63</v>
      </c>
      <c r="C29" s="18" t="s">
        <v>64</v>
      </c>
      <c r="D29" s="19">
        <f t="shared" si="3"/>
        <v>4081.65</v>
      </c>
      <c r="E29" s="19">
        <f t="shared" si="4"/>
        <v>0.05</v>
      </c>
      <c r="F29" s="25">
        <f t="shared" si="2"/>
        <v>0.01</v>
      </c>
      <c r="G29" s="26">
        <v>7.89</v>
      </c>
      <c r="H29" s="15">
        <v>4.3E-3</v>
      </c>
      <c r="I29" s="20">
        <v>1.4999999999999999E-2</v>
      </c>
    </row>
    <row r="30" spans="1:13" s="15" customFormat="1" x14ac:dyDescent="0.25">
      <c r="A30" s="16" t="s">
        <v>65</v>
      </c>
      <c r="B30" s="17" t="s">
        <v>66</v>
      </c>
      <c r="C30" s="18" t="s">
        <v>67</v>
      </c>
      <c r="D30" s="19">
        <f t="shared" si="3"/>
        <v>44898.15</v>
      </c>
      <c r="E30" s="19">
        <f t="shared" si="4"/>
        <v>0.55000000000000004</v>
      </c>
      <c r="F30" s="25">
        <f t="shared" si="2"/>
        <v>7.0000000000000007E-2</v>
      </c>
      <c r="G30" s="26">
        <v>7.89</v>
      </c>
      <c r="H30" s="15">
        <f>1-H25-H26-H27-H28-H29</f>
        <v>1.7500000000000002E-2</v>
      </c>
      <c r="I30" s="20">
        <v>0.158</v>
      </c>
    </row>
    <row r="31" spans="1:13" s="163" customFormat="1" x14ac:dyDescent="0.25">
      <c r="A31" s="157">
        <v>5</v>
      </c>
      <c r="B31" s="158" t="s">
        <v>117</v>
      </c>
      <c r="C31" s="13" t="s">
        <v>17</v>
      </c>
      <c r="D31" s="159">
        <f>E31*12*$D$5</f>
        <v>19591.919999999998</v>
      </c>
      <c r="E31" s="160">
        <v>0.12</v>
      </c>
      <c r="F31" s="161"/>
      <c r="G31" s="162"/>
      <c r="I31" s="164"/>
      <c r="J31" s="165">
        <f t="shared" ref="J31" si="5">E31*$D$5*12</f>
        <v>19591.919999999998</v>
      </c>
      <c r="K31" s="165">
        <f t="shared" ref="K31" si="6">J31-D31</f>
        <v>0</v>
      </c>
    </row>
    <row r="32" spans="1:13" ht="57" customHeight="1" x14ac:dyDescent="0.25">
      <c r="A32" s="3">
        <v>6</v>
      </c>
      <c r="B32" s="31" t="s">
        <v>113</v>
      </c>
      <c r="C32" s="13" t="s">
        <v>114</v>
      </c>
      <c r="D32" s="14">
        <v>9441.6</v>
      </c>
      <c r="E32" s="14">
        <v>0.06</v>
      </c>
      <c r="F32" s="12">
        <f>E32*12*2602.7</f>
        <v>1873.94</v>
      </c>
      <c r="G32" s="12">
        <f>D32-F32</f>
        <v>7567.66</v>
      </c>
      <c r="I32" s="2">
        <f>D32/12/D4</f>
        <v>5.7829554224394501E-2</v>
      </c>
      <c r="J32" s="12"/>
      <c r="M32" s="15"/>
    </row>
    <row r="33" spans="1:10" x14ac:dyDescent="0.25">
      <c r="A33" s="85">
        <v>7</v>
      </c>
      <c r="B33" s="31" t="s">
        <v>68</v>
      </c>
      <c r="C33" s="33"/>
      <c r="D33" s="14">
        <f>SUM(D34:D35)</f>
        <v>186123.24</v>
      </c>
      <c r="E33" s="14">
        <v>1.1399999999999999</v>
      </c>
      <c r="I33" s="2">
        <f>D33/12/D4</f>
        <v>1.1399999999999999</v>
      </c>
      <c r="J33" s="12"/>
    </row>
    <row r="34" spans="1:10" ht="31.5" x14ac:dyDescent="0.25">
      <c r="A34" s="16" t="s">
        <v>115</v>
      </c>
      <c r="B34" s="34" t="s">
        <v>69</v>
      </c>
      <c r="C34" s="35" t="s">
        <v>17</v>
      </c>
      <c r="D34" s="36">
        <f>E34*12*$D$4</f>
        <v>138776.1</v>
      </c>
      <c r="E34" s="36">
        <f>I34*$E$33</f>
        <v>0.85</v>
      </c>
      <c r="I34" s="37">
        <v>0.74180000000000001</v>
      </c>
    </row>
    <row r="35" spans="1:10" x14ac:dyDescent="0.25">
      <c r="A35" s="21" t="s">
        <v>116</v>
      </c>
      <c r="B35" s="38" t="s">
        <v>70</v>
      </c>
      <c r="C35" s="35" t="s">
        <v>64</v>
      </c>
      <c r="D35" s="36">
        <f>E35*12*$D$4</f>
        <v>47347.14</v>
      </c>
      <c r="E35" s="36">
        <f>I35*$E$33</f>
        <v>0.28999999999999998</v>
      </c>
      <c r="I35" s="37">
        <v>0.25819999999999999</v>
      </c>
    </row>
    <row r="36" spans="1:10" s="15" customFormat="1" ht="31.5" x14ac:dyDescent="0.25">
      <c r="A36" s="32">
        <v>8</v>
      </c>
      <c r="B36" s="31" t="s">
        <v>71</v>
      </c>
      <c r="C36" s="13" t="s">
        <v>85</v>
      </c>
      <c r="D36" s="11">
        <f>5273.6*7*12</f>
        <v>442982.40000000002</v>
      </c>
      <c r="E36" s="11">
        <f>D36/12/D4</f>
        <v>2.71</v>
      </c>
      <c r="I36" s="15">
        <f>D36/12/D4</f>
        <v>2.7132556686634102</v>
      </c>
      <c r="J36" s="40"/>
    </row>
    <row r="37" spans="1:10" s="15" customFormat="1" ht="31.5" x14ac:dyDescent="0.25">
      <c r="A37" s="32">
        <v>9</v>
      </c>
      <c r="B37" s="31" t="s">
        <v>84</v>
      </c>
      <c r="C37" s="13" t="s">
        <v>85</v>
      </c>
      <c r="D37" s="11">
        <v>31164</v>
      </c>
      <c r="E37" s="11">
        <f>D37/12/D4</f>
        <v>0.19</v>
      </c>
      <c r="J37" s="40"/>
    </row>
    <row r="38" spans="1:10" s="15" customFormat="1" x14ac:dyDescent="0.25">
      <c r="A38" s="32">
        <v>10</v>
      </c>
      <c r="B38" s="31" t="s">
        <v>129</v>
      </c>
      <c r="C38" s="13" t="s">
        <v>17</v>
      </c>
      <c r="D38" s="11">
        <f>E38*12*D4</f>
        <v>422858.94</v>
      </c>
      <c r="E38" s="11">
        <f>1.03+1.56</f>
        <v>2.59</v>
      </c>
      <c r="I38" s="15">
        <f>3.04/1.13</f>
        <v>2.6902654867256599</v>
      </c>
      <c r="J38" s="40"/>
    </row>
    <row r="39" spans="1:10" x14ac:dyDescent="0.25">
      <c r="A39" s="32">
        <v>11</v>
      </c>
      <c r="B39" s="39" t="s">
        <v>72</v>
      </c>
      <c r="C39" s="33"/>
      <c r="D39" s="14">
        <f>SUM(D36:D38,D31:D33,D18,D8:D10)</f>
        <v>3573397.05</v>
      </c>
      <c r="E39" s="14">
        <f>SUM(E36:E38,E31:E33,E18,E8:E10)</f>
        <v>21.89</v>
      </c>
      <c r="G39" s="12" t="e">
        <f>E8+#REF!+E9+E18+#REF!+#REF!</f>
        <v>#REF!</v>
      </c>
      <c r="I39" s="12">
        <f>D39/12/D4</f>
        <v>21.89</v>
      </c>
      <c r="J39" s="12"/>
    </row>
    <row r="40" spans="1:10" ht="132" customHeight="1" x14ac:dyDescent="0.25">
      <c r="A40" s="32">
        <v>12</v>
      </c>
      <c r="B40" s="41" t="s">
        <v>126</v>
      </c>
      <c r="C40" s="53" t="s">
        <v>74</v>
      </c>
      <c r="D40" s="14">
        <f>E40*12*D4</f>
        <v>535512.48</v>
      </c>
      <c r="E40" s="14">
        <f>E39*0.15</f>
        <v>3.28</v>
      </c>
      <c r="F40" s="12">
        <f>E40*12*2602.7</f>
        <v>102442.27</v>
      </c>
      <c r="G40" s="12">
        <f>D40-F40</f>
        <v>433070.21</v>
      </c>
      <c r="H40" s="2">
        <f>E40*12*2602.7</f>
        <v>102442.272</v>
      </c>
      <c r="J40" s="12"/>
    </row>
    <row r="41" spans="1:10" x14ac:dyDescent="0.25">
      <c r="A41" s="32">
        <v>13</v>
      </c>
      <c r="B41" s="189" t="s">
        <v>75</v>
      </c>
      <c r="C41" s="190"/>
      <c r="D41" s="191">
        <f>D39+D40</f>
        <v>4108909.53</v>
      </c>
      <c r="E41" s="191">
        <f>E39+E40</f>
        <v>25.17</v>
      </c>
      <c r="G41" s="12"/>
      <c r="I41" s="12">
        <f>D41/12/D4</f>
        <v>25.17</v>
      </c>
      <c r="J41" s="12"/>
    </row>
    <row r="42" spans="1:10" x14ac:dyDescent="0.25">
      <c r="A42" s="32">
        <v>14</v>
      </c>
      <c r="B42" s="189" t="s">
        <v>76</v>
      </c>
      <c r="C42" s="190"/>
      <c r="D42" s="191">
        <f>SUM(D43:D46)</f>
        <v>276191.65000000002</v>
      </c>
      <c r="E42" s="191">
        <f>SUM(E43:E46)</f>
        <v>1.85</v>
      </c>
      <c r="G42" s="12"/>
      <c r="I42" s="12"/>
      <c r="J42" s="12"/>
    </row>
    <row r="43" spans="1:10" x14ac:dyDescent="0.25">
      <c r="A43" s="32">
        <v>15</v>
      </c>
      <c r="B43" s="147"/>
      <c r="C43" s="111" t="s">
        <v>132</v>
      </c>
      <c r="D43" s="19">
        <f>19455.87/1.1</f>
        <v>17687.150000000001</v>
      </c>
      <c r="E43" s="19">
        <f>D43/11/$D$4</f>
        <v>0.12</v>
      </c>
      <c r="G43" s="12"/>
      <c r="I43" s="12"/>
      <c r="J43" s="12"/>
    </row>
    <row r="44" spans="1:10" x14ac:dyDescent="0.25">
      <c r="A44" s="32"/>
      <c r="B44" s="147"/>
      <c r="C44" s="16" t="s">
        <v>138</v>
      </c>
      <c r="D44" s="19">
        <f>205034.89/1.1</f>
        <v>186395.35</v>
      </c>
      <c r="E44" s="19">
        <f t="shared" ref="E44:E46" si="7">D44/11/$D$4</f>
        <v>1.25</v>
      </c>
      <c r="G44" s="12"/>
      <c r="I44" s="12"/>
      <c r="J44" s="12"/>
    </row>
    <row r="45" spans="1:10" x14ac:dyDescent="0.25">
      <c r="A45" s="32"/>
      <c r="B45" s="147"/>
      <c r="C45" s="16" t="s">
        <v>142</v>
      </c>
      <c r="D45" s="19">
        <f>19455.87/1.1</f>
        <v>17687.150000000001</v>
      </c>
      <c r="E45" s="19">
        <f t="shared" si="7"/>
        <v>0.12</v>
      </c>
      <c r="G45" s="12"/>
      <c r="I45" s="12"/>
      <c r="J45" s="12"/>
    </row>
    <row r="46" spans="1:10" x14ac:dyDescent="0.25">
      <c r="A46" s="32">
        <v>16</v>
      </c>
      <c r="B46" s="147"/>
      <c r="C46" s="16" t="s">
        <v>143</v>
      </c>
      <c r="D46" s="19">
        <f>59864.2/1.1</f>
        <v>54422</v>
      </c>
      <c r="E46" s="19">
        <f t="shared" si="7"/>
        <v>0.36</v>
      </c>
      <c r="G46" s="12"/>
      <c r="I46" s="12"/>
      <c r="J46" s="12"/>
    </row>
    <row r="47" spans="1:10" ht="126" x14ac:dyDescent="0.25">
      <c r="A47" s="32">
        <v>17</v>
      </c>
      <c r="B47" s="48" t="s">
        <v>73</v>
      </c>
      <c r="C47" s="54" t="s">
        <v>94</v>
      </c>
      <c r="D47" s="19">
        <f>D42*0.1</f>
        <v>27619.17</v>
      </c>
      <c r="E47" s="19">
        <f>E42*0.1</f>
        <v>0.19</v>
      </c>
      <c r="G47" s="12"/>
      <c r="I47" s="12"/>
      <c r="J47" s="12"/>
    </row>
    <row r="48" spans="1:10" x14ac:dyDescent="0.25">
      <c r="A48" s="32">
        <v>18</v>
      </c>
      <c r="B48" s="189" t="s">
        <v>95</v>
      </c>
      <c r="C48" s="192"/>
      <c r="D48" s="191">
        <f>D42+D47</f>
        <v>303810.82</v>
      </c>
      <c r="E48" s="191">
        <f>D48/11/D4</f>
        <v>2.0299999999999998</v>
      </c>
      <c r="G48" s="12"/>
      <c r="I48" s="12"/>
      <c r="J48" s="12"/>
    </row>
    <row r="49" spans="1:9" x14ac:dyDescent="0.25">
      <c r="A49" s="32">
        <v>19</v>
      </c>
      <c r="B49" s="189" t="s">
        <v>79</v>
      </c>
      <c r="C49" s="190"/>
      <c r="D49" s="191">
        <f>D48+D41</f>
        <v>4412720.3499999996</v>
      </c>
      <c r="E49" s="191">
        <f>E48+E41</f>
        <v>27.2</v>
      </c>
      <c r="I49" s="22" t="e">
        <f>E41/#REF!</f>
        <v>#REF!</v>
      </c>
    </row>
    <row r="50" spans="1:9" ht="16.5" customHeight="1" x14ac:dyDescent="0.25">
      <c r="A50" s="32">
        <v>20</v>
      </c>
      <c r="B50" s="195" t="s">
        <v>136</v>
      </c>
      <c r="C50" s="173" t="s">
        <v>141</v>
      </c>
      <c r="D50" s="194">
        <f>E50*4*D4</f>
        <v>83809.88</v>
      </c>
      <c r="E50" s="194">
        <f>1.54</f>
        <v>1.54</v>
      </c>
    </row>
    <row r="51" spans="1:9" x14ac:dyDescent="0.25">
      <c r="A51" s="3">
        <v>21</v>
      </c>
      <c r="B51" s="193"/>
      <c r="C51" s="193" t="s">
        <v>137</v>
      </c>
      <c r="D51" s="194">
        <f>E51*12*D4</f>
        <v>14693.94</v>
      </c>
      <c r="E51" s="194">
        <v>0.09</v>
      </c>
    </row>
    <row r="53" spans="1:9" x14ac:dyDescent="0.25">
      <c r="B53" s="52" t="s">
        <v>80</v>
      </c>
      <c r="C53" s="51" t="s">
        <v>81</v>
      </c>
    </row>
    <row r="54" spans="1:9" x14ac:dyDescent="0.25">
      <c r="B54" s="52"/>
      <c r="C54" s="52"/>
    </row>
    <row r="55" spans="1:9" x14ac:dyDescent="0.25">
      <c r="B55" s="52" t="s">
        <v>82</v>
      </c>
      <c r="C55" s="51" t="s">
        <v>83</v>
      </c>
    </row>
  </sheetData>
  <mergeCells count="7">
    <mergeCell ref="D1:F1"/>
    <mergeCell ref="B2:E2"/>
    <mergeCell ref="C3:E3"/>
    <mergeCell ref="C4:C7"/>
    <mergeCell ref="D4:E4"/>
    <mergeCell ref="D5:E5"/>
    <mergeCell ref="D6:E6"/>
  </mergeCells>
  <phoneticPr fontId="7" type="noConversion"/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Ст.2</vt:lpstr>
      <vt:lpstr>Ст.25</vt:lpstr>
      <vt:lpstr>Ст.26</vt:lpstr>
      <vt:lpstr>Ст.28</vt:lpstr>
      <vt:lpstr>Ст.30</vt:lpstr>
      <vt:lpstr>Ст.32</vt:lpstr>
      <vt:lpstr>Об.35-1</vt:lpstr>
      <vt:lpstr>Об.35-2</vt:lpstr>
      <vt:lpstr>Мак.22</vt:lpstr>
      <vt:lpstr>Мак.22!Область_печати</vt:lpstr>
      <vt:lpstr>'Об.35-1'!Область_печати</vt:lpstr>
      <vt:lpstr>'Об.35-2'!Область_печати</vt:lpstr>
      <vt:lpstr>Ст.2!Область_печати</vt:lpstr>
      <vt:lpstr>Ст.25!Область_печати</vt:lpstr>
      <vt:lpstr>Ст.26!Область_печати</vt:lpstr>
      <vt:lpstr>Ст.28!Область_печати</vt:lpstr>
      <vt:lpstr>Ст.30!Область_печати</vt:lpstr>
      <vt:lpstr>Ст.32!Область_печати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2015-01-14T10:47:20Z</cp:lastPrinted>
  <dcterms:created xsi:type="dcterms:W3CDTF">2006-09-16T00:00:00Z</dcterms:created>
  <dcterms:modified xsi:type="dcterms:W3CDTF">2017-12-14T04:52:00Z</dcterms:modified>
</cp:coreProperties>
</file>