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95" yWindow="210" windowWidth="15435" windowHeight="119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Лист1!$A$1:$E$63</definedName>
  </definedNames>
  <calcPr calcId="145621" fullPrecision="0"/>
</workbook>
</file>

<file path=xl/calcChain.xml><?xml version="1.0" encoding="utf-8"?>
<calcChain xmlns="http://schemas.openxmlformats.org/spreadsheetml/2006/main">
  <c r="D35" i="1" l="1"/>
  <c r="P35" i="1"/>
  <c r="D47" i="1" l="1"/>
  <c r="D49" i="1"/>
  <c r="D50" i="1"/>
  <c r="D48" i="1"/>
  <c r="D46" i="1"/>
  <c r="D45" i="1"/>
  <c r="D43" i="1"/>
  <c r="D44" i="1"/>
  <c r="D42" i="1" l="1"/>
  <c r="H32" i="1"/>
  <c r="I26" i="1"/>
  <c r="E26" i="1" s="1"/>
  <c r="E33" i="1" s="1"/>
  <c r="E20" i="1"/>
  <c r="E24" i="1" s="1"/>
  <c r="F24" i="1" s="1"/>
  <c r="E18" i="1"/>
  <c r="E17" i="1"/>
  <c r="E16" i="1"/>
  <c r="I15" i="1"/>
  <c r="E15" i="1" s="1"/>
  <c r="E14" i="1"/>
  <c r="E13" i="1"/>
  <c r="F12" i="1"/>
  <c r="F11" i="1"/>
  <c r="F10" i="1"/>
  <c r="D5" i="1"/>
  <c r="E38" i="1" s="1"/>
  <c r="E47" i="1" l="1"/>
  <c r="E49" i="1"/>
  <c r="E46" i="1"/>
  <c r="E48" i="1"/>
  <c r="E50" i="1"/>
  <c r="E43" i="1"/>
  <c r="E45" i="1"/>
  <c r="E44" i="1"/>
  <c r="E42" i="1"/>
  <c r="D51" i="1"/>
  <c r="E51" i="1" s="1"/>
  <c r="N51" i="1" s="1"/>
  <c r="E21" i="1"/>
  <c r="D21" i="1" s="1"/>
  <c r="E31" i="1"/>
  <c r="D31" i="1" s="1"/>
  <c r="N31" i="1" s="1"/>
  <c r="F26" i="1"/>
  <c r="E27" i="1"/>
  <c r="D27" i="1" s="1"/>
  <c r="E37" i="1"/>
  <c r="N37" i="1" s="1"/>
  <c r="E29" i="1"/>
  <c r="F29" i="1" s="1"/>
  <c r="F21" i="1"/>
  <c r="E23" i="1"/>
  <c r="F23" i="1" s="1"/>
  <c r="E25" i="1"/>
  <c r="D25" i="1" s="1"/>
  <c r="N25" i="1" s="1"/>
  <c r="O19" i="1"/>
  <c r="O20" i="1" s="1"/>
  <c r="F20" i="1"/>
  <c r="E22" i="1"/>
  <c r="F22" i="1" s="1"/>
  <c r="E28" i="1"/>
  <c r="F28" i="1" s="1"/>
  <c r="E30" i="1"/>
  <c r="F30" i="1" s="1"/>
  <c r="E32" i="1"/>
  <c r="D32" i="1" s="1"/>
  <c r="N32" i="1" s="1"/>
  <c r="N56" i="1"/>
  <c r="D55" i="1"/>
  <c r="N55" i="1" s="1"/>
  <c r="D34" i="1"/>
  <c r="N34" i="1" s="1"/>
  <c r="D14" i="1"/>
  <c r="N14" i="1" s="1"/>
  <c r="D54" i="1"/>
  <c r="N54" i="1" s="1"/>
  <c r="E36" i="1"/>
  <c r="N36" i="1" s="1"/>
  <c r="D11" i="1"/>
  <c r="N11" i="1" s="1"/>
  <c r="J10" i="1"/>
  <c r="D10" i="1"/>
  <c r="N10" i="1" s="1"/>
  <c r="D17" i="1"/>
  <c r="N17" i="1" s="1"/>
  <c r="D13" i="1"/>
  <c r="N13" i="1" s="1"/>
  <c r="D15" i="1"/>
  <c r="G39" i="1"/>
  <c r="D33" i="1"/>
  <c r="N33" i="1" s="1"/>
  <c r="E35" i="1"/>
  <c r="N15" i="1"/>
  <c r="D16" i="1"/>
  <c r="N16" i="1" s="1"/>
  <c r="D18" i="1"/>
  <c r="N18" i="1" s="1"/>
  <c r="D24" i="1"/>
  <c r="N24" i="1" s="1"/>
  <c r="D29" i="1"/>
  <c r="N29" i="1" s="1"/>
  <c r="F31" i="1"/>
  <c r="D30" i="1" l="1"/>
  <c r="N30" i="1" s="1"/>
  <c r="F27" i="1"/>
  <c r="D23" i="1"/>
  <c r="J54" i="1" s="1"/>
  <c r="D52" i="1"/>
  <c r="E52" i="1"/>
  <c r="E39" i="1"/>
  <c r="F32" i="1"/>
  <c r="D28" i="1"/>
  <c r="N28" i="1" s="1"/>
  <c r="D22" i="1"/>
  <c r="N22" i="1" s="1"/>
  <c r="N21" i="1"/>
  <c r="N35" i="1"/>
  <c r="N27" i="1"/>
  <c r="N23" i="1"/>
  <c r="D12" i="1"/>
  <c r="G10" i="1"/>
  <c r="I10" i="1"/>
  <c r="G11" i="1"/>
  <c r="I11" i="1"/>
  <c r="N42" i="1"/>
  <c r="N52" i="1" l="1"/>
  <c r="D26" i="1"/>
  <c r="N26" i="1" s="1"/>
  <c r="D20" i="1"/>
  <c r="E40" i="1"/>
  <c r="E41" i="1" s="1"/>
  <c r="I12" i="1"/>
  <c r="G12" i="1"/>
  <c r="N12" i="1"/>
  <c r="N20" i="1" l="1"/>
  <c r="D19" i="1"/>
  <c r="I19" i="1" s="1"/>
  <c r="M20" i="1"/>
  <c r="E53" i="1"/>
  <c r="H40" i="1"/>
  <c r="F40" i="1"/>
  <c r="N19" i="1" l="1"/>
  <c r="D39" i="1"/>
  <c r="N39" i="1" s="1"/>
  <c r="D40" i="1" l="1"/>
  <c r="D41" i="1" s="1"/>
  <c r="D53" i="1" s="1"/>
  <c r="N53" i="1" s="1"/>
  <c r="I39" i="1"/>
  <c r="G40" i="1"/>
  <c r="N40" i="1" l="1"/>
  <c r="I41" i="1"/>
  <c r="N41" i="1"/>
</calcChain>
</file>

<file path=xl/sharedStrings.xml><?xml version="1.0" encoding="utf-8"?>
<sst xmlns="http://schemas.openxmlformats.org/spreadsheetml/2006/main" count="108" uniqueCount="104">
  <si>
    <t>Адрес дома</t>
  </si>
  <si>
    <t>тип общежития</t>
  </si>
  <si>
    <t>коридорный</t>
  </si>
  <si>
    <t>Общая площадь  помещений, в том числе:</t>
  </si>
  <si>
    <t>Условия выполнения работ и оказания услуг</t>
  </si>
  <si>
    <t>площадь жилых помещений</t>
  </si>
  <si>
    <t>жилая площадь</t>
  </si>
  <si>
    <t>площадь нежилых помещений</t>
  </si>
  <si>
    <t>Перечень видов работ и услуг</t>
  </si>
  <si>
    <r>
      <t xml:space="preserve">Стоимость работ и услуг в </t>
    </r>
    <r>
      <rPr>
        <b/>
        <u/>
        <sz val="12"/>
        <color indexed="8"/>
        <rFont val="Times New Roman"/>
        <family val="1"/>
        <charset val="204"/>
      </rPr>
      <t>год,</t>
    </r>
    <r>
      <rPr>
        <sz val="12"/>
        <color indexed="8"/>
        <rFont val="Times New Roman"/>
        <family val="1"/>
        <charset val="204"/>
      </rPr>
      <t xml:space="preserve"> рублей</t>
    </r>
  </si>
  <si>
    <t>Цена на 1 кв.м. общей площади, рублей в месяц</t>
  </si>
  <si>
    <t>Техническое обслуживание внутридомового инженерного оборудования и конструктивных элементов многоквартирного дома</t>
  </si>
  <si>
    <t>Проведение технических осмотров, профилактический ремонт и устранение незначительных неисправностей в системах отопления, водоснабжения, водоотведения, электроснабжения и в конструктивных элементах здания, а также:  регулировка , наладка и испытание систем центрального отопления; промывка, опресовка, консервация и расконсервация системы центрального отопления и поливочных систем; мелкий ремонт изоляции, проверка исправности канализационных вытяжек и устранение причин при обнаружении их неисправности; ремонт и укрепление окон и дверей; очистка кровли от мусора, грязи, снега, наледи, снежных шапок и сосулек т.д.</t>
  </si>
  <si>
    <t>Аварийно-ремонтное обслуживание</t>
  </si>
  <si>
    <t>Круглосуточно на системах водоснабжения, теплоснабжения, канализации, энергообеспечения</t>
  </si>
  <si>
    <t>Санитарные работы по содержанию помещений общего пользования</t>
  </si>
  <si>
    <t>3.1.</t>
  </si>
  <si>
    <t>влажное подметание полов лестничных площадок и маршей нижних 3-х этажей</t>
  </si>
  <si>
    <t>5 раз в неделю</t>
  </si>
  <si>
    <t>3.2.</t>
  </si>
  <si>
    <t>влажное подметание полов лестничных площадок и маршей выше третьего этажа</t>
  </si>
  <si>
    <t>2 раза в неделю</t>
  </si>
  <si>
    <t>3.3.</t>
  </si>
  <si>
    <t xml:space="preserve">мытье полов лестничных площадок и маршей </t>
  </si>
  <si>
    <t>2 раза в месяц</t>
  </si>
  <si>
    <t>3.4.</t>
  </si>
  <si>
    <t>мытье полов кабины лифтов</t>
  </si>
  <si>
    <t>3.5.</t>
  </si>
  <si>
    <t>мытье окон, влажная протирка подоконников, отопительных приборов, стен, дверей, плафонов,   чердачных лестниц, шкафов  для электросчётчиков , почтовых ящиков, обметание пыли с потолков</t>
  </si>
  <si>
    <t>1 раз в год</t>
  </si>
  <si>
    <t>3.6.</t>
  </si>
  <si>
    <t>влажная протирка стен, дверей, плафонов и потолков кабины лифтов</t>
  </si>
  <si>
    <t>1 раз в месяц</t>
  </si>
  <si>
    <t xml:space="preserve">Уборка земельного участка, входящего в состав общего имущества дома </t>
  </si>
  <si>
    <t>%</t>
  </si>
  <si>
    <t>в теплый период</t>
  </si>
  <si>
    <t>4.1.</t>
  </si>
  <si>
    <t>подметание  территории асфальта в летний период (в дни без осадков или с осадками до 2 см)</t>
  </si>
  <si>
    <t xml:space="preserve"> территория 1 класса 1 раз в двое суток ,  3 класса  1 раз в сутки</t>
  </si>
  <si>
    <t>4.2.</t>
  </si>
  <si>
    <t>частичная уборка территории (в дни с осадками более 2 см)</t>
  </si>
  <si>
    <t>50% асфальта 1,2,3 класса 1 раз в двое суток</t>
  </si>
  <si>
    <t>4.3.</t>
  </si>
  <si>
    <t>уборка газонов  в летний период, в т. ч. кошение газонов</t>
  </si>
  <si>
    <t>50% территории -3 раза в неделю</t>
  </si>
  <si>
    <t>4.4.</t>
  </si>
  <si>
    <t xml:space="preserve">подметание ступеней и площадки перед входом в подъезд </t>
  </si>
  <si>
    <t>4.5.</t>
  </si>
  <si>
    <t>уборка контейнерной площадки</t>
  </si>
  <si>
    <t>7 раз в неделю</t>
  </si>
  <si>
    <t xml:space="preserve">в холодный  период </t>
  </si>
  <si>
    <t>4.6.</t>
  </si>
  <si>
    <t>уборка территории</t>
  </si>
  <si>
    <t xml:space="preserve">территория  3 класса 1 раз в сутки , 2 и 1 класса  - 1 раз в двое суток  </t>
  </si>
  <si>
    <t>4.7.</t>
  </si>
  <si>
    <t>сдвигание свежевыпавшего снега в дни сильных снегопадов</t>
  </si>
  <si>
    <t>1 раз в сутки в дни сильных снегопадов</t>
  </si>
  <si>
    <t>4.8.</t>
  </si>
  <si>
    <t xml:space="preserve">очистка участков территории от снега и наледи при проведении механизированной уборки </t>
  </si>
  <si>
    <t xml:space="preserve">по мере необходимости </t>
  </si>
  <si>
    <t>4.9.</t>
  </si>
  <si>
    <t xml:space="preserve">посыпка территории песком  </t>
  </si>
  <si>
    <t>1 раз в сутки во время гололёда</t>
  </si>
  <si>
    <t>4.10.</t>
  </si>
  <si>
    <t>очистка от наледи и льда крышек люков и пожарных колодцев</t>
  </si>
  <si>
    <t>1 раз в неделю</t>
  </si>
  <si>
    <t>4.11.</t>
  </si>
  <si>
    <t>сметание снега со ступенек перед входом в подъезд</t>
  </si>
  <si>
    <t>4 раза в неделю</t>
  </si>
  <si>
    <t>4.12.</t>
  </si>
  <si>
    <t>очистка контейнерной площадки</t>
  </si>
  <si>
    <t>Дератизация, дезинсекция.дезинфекция</t>
  </si>
  <si>
    <t>дератизация подвалов - 1 раз в квартал, дезинсекция  по заявкам, дезинфекция контенеров и шиберов в мусорамерах и помещениий мусорокамер - 1 раз в месяц</t>
  </si>
  <si>
    <t>Содержание и обслуживание лифтов</t>
  </si>
  <si>
    <t>Обслуживание ОПУ</t>
  </si>
  <si>
    <t>Итого стоимость работ и услуг</t>
  </si>
  <si>
    <t>Управление многоквартирным домом 13%</t>
  </si>
  <si>
    <t>Планирование работ по текущему содержанию общего имущества многоквартирного дома, планирование финансовых и технических ресурсов; осуществление систематического контроля над качеством услуг, работ подрядчиков и за исполнением иных договорных обязательств; оплата работ и услуг подрядчиков в соответствии с заключенными договорами, взыскание задолженности по оплате ЖКУ, ведение тех.документации, работа с населением в т.ч. рассмотрение обращений и жалоб по качеству обслуживания и др.</t>
  </si>
  <si>
    <t>Итого стоимость работ и услуг по содержанию  общего имущества дома</t>
  </si>
  <si>
    <t>Текущий ремонт</t>
  </si>
  <si>
    <t>Управление многоквартирным домом</t>
  </si>
  <si>
    <t>Планирование работ по текущему ремонту  общего имущества многоквартирного дома, планирование финансовых и технических ресурсов; осуществление систематического контроля над качеством услуг, работ подрядчиков и за исполнением иных договорных обязательств; оплата работ и услуг подрядчиков в соответствии с заключенными договорами, взыскание задолженности по оплате ЖКУ, ведение тех.документации, работа с населением в т.ч. рассмотрение обращений и жалоб по качеству ремонту и др.</t>
  </si>
  <si>
    <t>Итого стоимость работ и услуг по текущему ремонту  общего имущества дома</t>
  </si>
  <si>
    <t>Всего стоимость работ и услуг по содержанию и ремонту общего имущества дома</t>
  </si>
  <si>
    <t>Вывоз и утилизация КГО</t>
  </si>
  <si>
    <t>Вывоз и утилизация ТБО</t>
  </si>
  <si>
    <t>ежедневно</t>
  </si>
  <si>
    <t>Управляющая организация</t>
  </si>
  <si>
    <t xml:space="preserve">                    Собствененник</t>
  </si>
  <si>
    <t xml:space="preserve">Исполнительный директор   _____________С. В.  Соловьев                          </t>
  </si>
  <si>
    <t xml:space="preserve">                    Глава администрации _______________ Г. Н. Шатула</t>
  </si>
  <si>
    <t>Перечень всех работ и услуг по содержанию и ремонту общего имущества в многоквартирном доме по ул.Немыткина 8/1 и их стоимость на 2017 год</t>
  </si>
  <si>
    <t>Немыткина 8/1</t>
  </si>
  <si>
    <t>Обслуживание САРТ</t>
  </si>
  <si>
    <t>Обслуживание водоподогревателя</t>
  </si>
  <si>
    <t xml:space="preserve">Приложение №    к доп соглашению                                                  от_____________  г.                                                       к договору                                    № ____  от  _____________ г. </t>
  </si>
  <si>
    <t>замена шарового крана сварного  Ду 150 в ИТП 1 шт.</t>
  </si>
  <si>
    <t>утепление поверхности фановых труб канализации на кровле методом покрытия  теплоизоляционной краски 15 м2</t>
  </si>
  <si>
    <t>установка клапана предохранительного в ИТП 1 шт.</t>
  </si>
  <si>
    <t>замена светильников на светодиодные с датчиком движения в тамбурах под № 1,2,3,4,5 (10шт.)</t>
  </si>
  <si>
    <t>замена светильников наружного освещения на светодиодные над под № 1,2,3,4,5 (5шт.)</t>
  </si>
  <si>
    <t xml:space="preserve">замена тамбурных дверей на утепленные с доводчиком под № 1,2,3,4,5 </t>
  </si>
  <si>
    <t xml:space="preserve">изготовление и установка решеткии металлической двери( перегородка перед входом на технический этаж под № 1,2,3,4,5 </t>
  </si>
  <si>
    <t>замена светильников на светодиодные с датчиком движения на площадках под № 1,2,3,4,5 (50шт.)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</si>
</sst>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71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2" xfId="1" applyFont="1" applyBorder="1" applyAlignment="1">
      <alignment horizontal="right"/>
    </xf>
    <xf numFmtId="0" fontId="2" fillId="0" borderId="2" xfId="1" applyFont="1" applyBorder="1" applyAlignment="1">
      <alignment horizontal="center" vertical="center"/>
    </xf>
    <xf numFmtId="49" fontId="2" fillId="0" borderId="0" xfId="1" applyNumberFormat="1" applyFont="1"/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wrapText="1"/>
    </xf>
    <xf numFmtId="2" fontId="2" fillId="0" borderId="0" xfId="1" applyNumberFormat="1" applyFont="1"/>
    <xf numFmtId="0" fontId="3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distributed" wrapText="1"/>
    </xf>
    <xf numFmtId="4" fontId="3" fillId="3" borderId="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/>
    <xf numFmtId="0" fontId="2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/>
    </xf>
    <xf numFmtId="0" fontId="2" fillId="0" borderId="0" xfId="1" applyFont="1" applyFill="1"/>
    <xf numFmtId="0" fontId="2" fillId="0" borderId="2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/>
    </xf>
    <xf numFmtId="165" fontId="2" fillId="0" borderId="0" xfId="1" applyNumberFormat="1" applyFont="1" applyFill="1"/>
    <xf numFmtId="4" fontId="2" fillId="0" borderId="0" xfId="1" applyNumberFormat="1" applyFont="1" applyFill="1"/>
    <xf numFmtId="0" fontId="2" fillId="0" borderId="0" xfId="1" applyFont="1" applyFill="1" applyAlignment="1">
      <alignment horizontal="right"/>
    </xf>
    <xf numFmtId="165" fontId="2" fillId="0" borderId="0" xfId="1" applyNumberFormat="1" applyFont="1"/>
    <xf numFmtId="4" fontId="2" fillId="0" borderId="0" xfId="1" applyNumberFormat="1" applyFont="1"/>
    <xf numFmtId="0" fontId="5" fillId="0" borderId="2" xfId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/>
    </xf>
    <xf numFmtId="2" fontId="2" fillId="0" borderId="3" xfId="1" applyNumberFormat="1" applyFont="1" applyFill="1" applyBorder="1"/>
    <xf numFmtId="0" fontId="2" fillId="0" borderId="2" xfId="1" applyFont="1" applyFill="1" applyBorder="1"/>
    <xf numFmtId="165" fontId="2" fillId="4" borderId="0" xfId="1" applyNumberFormat="1" applyFont="1" applyFill="1"/>
    <xf numFmtId="4" fontId="2" fillId="0" borderId="0" xfId="1" applyNumberFormat="1" applyFont="1" applyFill="1" applyAlignment="1">
      <alignment horizontal="right"/>
    </xf>
    <xf numFmtId="16" fontId="2" fillId="0" borderId="2" xfId="1" applyNumberFormat="1" applyFont="1" applyFill="1" applyBorder="1" applyAlignment="1">
      <alignment horizontal="right"/>
    </xf>
    <xf numFmtId="0" fontId="2" fillId="5" borderId="2" xfId="1" applyFont="1" applyFill="1" applyBorder="1" applyAlignment="1">
      <alignment horizontal="left" vertical="center" wrapText="1"/>
    </xf>
    <xf numFmtId="0" fontId="2" fillId="0" borderId="3" xfId="1" applyFont="1" applyFill="1" applyBorder="1"/>
    <xf numFmtId="0" fontId="2" fillId="6" borderId="0" xfId="1" applyFont="1" applyFill="1"/>
    <xf numFmtId="2" fontId="2" fillId="0" borderId="0" xfId="1" applyNumberFormat="1" applyFont="1" applyFill="1" applyBorder="1"/>
    <xf numFmtId="0" fontId="2" fillId="0" borderId="0" xfId="1" applyFont="1" applyFill="1" applyBorder="1"/>
    <xf numFmtId="0" fontId="3" fillId="3" borderId="2" xfId="1" applyFont="1" applyFill="1" applyBorder="1" applyAlignment="1">
      <alignment horizontal="left" vertical="center" wrapText="1"/>
    </xf>
    <xf numFmtId="2" fontId="3" fillId="3" borderId="2" xfId="1" applyNumberFormat="1" applyFont="1" applyFill="1" applyBorder="1" applyAlignment="1">
      <alignment horizontal="center"/>
    </xf>
    <xf numFmtId="0" fontId="2" fillId="5" borderId="2" xfId="1" applyFont="1" applyFill="1" applyBorder="1" applyAlignment="1">
      <alignment horizontal="right"/>
    </xf>
    <xf numFmtId="0" fontId="2" fillId="3" borderId="2" xfId="1" applyFont="1" applyFill="1" applyBorder="1" applyAlignment="1">
      <alignment vertical="center" wrapText="1"/>
    </xf>
    <xf numFmtId="4" fontId="7" fillId="3" borderId="2" xfId="3" applyNumberFormat="1" applyFont="1" applyFill="1" applyBorder="1" applyAlignment="1">
      <alignment horizontal="center"/>
    </xf>
    <xf numFmtId="0" fontId="2" fillId="3" borderId="2" xfId="1" applyFont="1" applyFill="1" applyBorder="1"/>
    <xf numFmtId="0" fontId="3" fillId="3" borderId="2" xfId="1" applyFont="1" applyFill="1" applyBorder="1"/>
    <xf numFmtId="0" fontId="3" fillId="3" borderId="2" xfId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3" fillId="7" borderId="2" xfId="1" applyFont="1" applyFill="1" applyBorder="1"/>
    <xf numFmtId="0" fontId="2" fillId="7" borderId="2" xfId="1" applyFont="1" applyFill="1" applyBorder="1"/>
    <xf numFmtId="4" fontId="3" fillId="7" borderId="2" xfId="1" applyNumberFormat="1" applyFont="1" applyFill="1" applyBorder="1" applyAlignment="1">
      <alignment horizontal="center"/>
    </xf>
    <xf numFmtId="0" fontId="3" fillId="5" borderId="2" xfId="1" applyFont="1" applyFill="1" applyBorder="1" applyAlignment="1">
      <alignment horizontal="left" vertical="center"/>
    </xf>
    <xf numFmtId="4" fontId="3" fillId="5" borderId="2" xfId="1" applyNumberFormat="1" applyFont="1" applyFill="1" applyBorder="1" applyAlignment="1">
      <alignment horizontal="center" vertical="center" wrapText="1"/>
    </xf>
    <xf numFmtId="4" fontId="3" fillId="5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8" fillId="5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8" borderId="2" xfId="1" applyFont="1" applyFill="1" applyBorder="1"/>
    <xf numFmtId="0" fontId="2" fillId="8" borderId="2" xfId="1" applyFont="1" applyFill="1" applyBorder="1"/>
    <xf numFmtId="4" fontId="3" fillId="8" borderId="2" xfId="1" applyNumberFormat="1" applyFont="1" applyFill="1" applyBorder="1" applyAlignment="1">
      <alignment horizontal="center"/>
    </xf>
    <xf numFmtId="0" fontId="2" fillId="8" borderId="2" xfId="1" applyFont="1" applyFill="1" applyBorder="1" applyAlignment="1">
      <alignment wrapText="1"/>
    </xf>
    <xf numFmtId="0" fontId="2" fillId="0" borderId="0" xfId="2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перечень 2012 3 уч." xfId="1"/>
    <cellStyle name="Обычный_перечень 2012 3 уч._участок 1 2015 2-5 эт." xfId="2"/>
    <cellStyle name="Обычный_ркц 2012 отпр.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abSelected="1" topLeftCell="A32" zoomScale="65" zoomScaleNormal="65" workbookViewId="0">
      <selection activeCell="Q40" sqref="Q40"/>
    </sheetView>
  </sheetViews>
  <sheetFormatPr defaultColWidth="10.28515625" defaultRowHeight="15.75" outlineLevelCol="1" x14ac:dyDescent="0.25"/>
  <cols>
    <col min="1" max="1" width="5.42578125" style="1" customWidth="1"/>
    <col min="2" max="2" width="91" style="2" customWidth="1"/>
    <col min="3" max="3" width="74.5703125" style="2" customWidth="1"/>
    <col min="4" max="4" width="17" style="2" customWidth="1"/>
    <col min="5" max="5" width="18.28515625" style="2" customWidth="1"/>
    <col min="6" max="15" width="14" style="2" hidden="1" customWidth="1" outlineLevel="1"/>
    <col min="16" max="16" width="14" style="2" customWidth="1" collapsed="1"/>
    <col min="17" max="17" width="14" style="2" customWidth="1"/>
    <col min="18" max="18" width="28.28515625" style="2" customWidth="1"/>
    <col min="19" max="256" width="10.28515625" style="2"/>
    <col min="257" max="257" width="5.42578125" style="2" customWidth="1"/>
    <col min="258" max="258" width="84.140625" style="2" customWidth="1"/>
    <col min="259" max="259" width="66.42578125" style="2" customWidth="1"/>
    <col min="260" max="260" width="17" style="2" customWidth="1"/>
    <col min="261" max="261" width="18.28515625" style="2" customWidth="1"/>
    <col min="262" max="273" width="14" style="2" customWidth="1"/>
    <col min="274" max="274" width="28.28515625" style="2" customWidth="1"/>
    <col min="275" max="512" width="10.28515625" style="2"/>
    <col min="513" max="513" width="5.42578125" style="2" customWidth="1"/>
    <col min="514" max="514" width="84.140625" style="2" customWidth="1"/>
    <col min="515" max="515" width="66.42578125" style="2" customWidth="1"/>
    <col min="516" max="516" width="17" style="2" customWidth="1"/>
    <col min="517" max="517" width="18.28515625" style="2" customWidth="1"/>
    <col min="518" max="529" width="14" style="2" customWidth="1"/>
    <col min="530" max="530" width="28.28515625" style="2" customWidth="1"/>
    <col min="531" max="768" width="10.28515625" style="2"/>
    <col min="769" max="769" width="5.42578125" style="2" customWidth="1"/>
    <col min="770" max="770" width="84.140625" style="2" customWidth="1"/>
    <col min="771" max="771" width="66.42578125" style="2" customWidth="1"/>
    <col min="772" max="772" width="17" style="2" customWidth="1"/>
    <col min="773" max="773" width="18.28515625" style="2" customWidth="1"/>
    <col min="774" max="785" width="14" style="2" customWidth="1"/>
    <col min="786" max="786" width="28.28515625" style="2" customWidth="1"/>
    <col min="787" max="1024" width="10.28515625" style="2"/>
    <col min="1025" max="1025" width="5.42578125" style="2" customWidth="1"/>
    <col min="1026" max="1026" width="84.140625" style="2" customWidth="1"/>
    <col min="1027" max="1027" width="66.42578125" style="2" customWidth="1"/>
    <col min="1028" max="1028" width="17" style="2" customWidth="1"/>
    <col min="1029" max="1029" width="18.28515625" style="2" customWidth="1"/>
    <col min="1030" max="1041" width="14" style="2" customWidth="1"/>
    <col min="1042" max="1042" width="28.28515625" style="2" customWidth="1"/>
    <col min="1043" max="1280" width="10.28515625" style="2"/>
    <col min="1281" max="1281" width="5.42578125" style="2" customWidth="1"/>
    <col min="1282" max="1282" width="84.140625" style="2" customWidth="1"/>
    <col min="1283" max="1283" width="66.42578125" style="2" customWidth="1"/>
    <col min="1284" max="1284" width="17" style="2" customWidth="1"/>
    <col min="1285" max="1285" width="18.28515625" style="2" customWidth="1"/>
    <col min="1286" max="1297" width="14" style="2" customWidth="1"/>
    <col min="1298" max="1298" width="28.28515625" style="2" customWidth="1"/>
    <col min="1299" max="1536" width="10.28515625" style="2"/>
    <col min="1537" max="1537" width="5.42578125" style="2" customWidth="1"/>
    <col min="1538" max="1538" width="84.140625" style="2" customWidth="1"/>
    <col min="1539" max="1539" width="66.42578125" style="2" customWidth="1"/>
    <col min="1540" max="1540" width="17" style="2" customWidth="1"/>
    <col min="1541" max="1541" width="18.28515625" style="2" customWidth="1"/>
    <col min="1542" max="1553" width="14" style="2" customWidth="1"/>
    <col min="1554" max="1554" width="28.28515625" style="2" customWidth="1"/>
    <col min="1555" max="1792" width="10.28515625" style="2"/>
    <col min="1793" max="1793" width="5.42578125" style="2" customWidth="1"/>
    <col min="1794" max="1794" width="84.140625" style="2" customWidth="1"/>
    <col min="1795" max="1795" width="66.42578125" style="2" customWidth="1"/>
    <col min="1796" max="1796" width="17" style="2" customWidth="1"/>
    <col min="1797" max="1797" width="18.28515625" style="2" customWidth="1"/>
    <col min="1798" max="1809" width="14" style="2" customWidth="1"/>
    <col min="1810" max="1810" width="28.28515625" style="2" customWidth="1"/>
    <col min="1811" max="2048" width="10.28515625" style="2"/>
    <col min="2049" max="2049" width="5.42578125" style="2" customWidth="1"/>
    <col min="2050" max="2050" width="84.140625" style="2" customWidth="1"/>
    <col min="2051" max="2051" width="66.42578125" style="2" customWidth="1"/>
    <col min="2052" max="2052" width="17" style="2" customWidth="1"/>
    <col min="2053" max="2053" width="18.28515625" style="2" customWidth="1"/>
    <col min="2054" max="2065" width="14" style="2" customWidth="1"/>
    <col min="2066" max="2066" width="28.28515625" style="2" customWidth="1"/>
    <col min="2067" max="2304" width="10.28515625" style="2"/>
    <col min="2305" max="2305" width="5.42578125" style="2" customWidth="1"/>
    <col min="2306" max="2306" width="84.140625" style="2" customWidth="1"/>
    <col min="2307" max="2307" width="66.42578125" style="2" customWidth="1"/>
    <col min="2308" max="2308" width="17" style="2" customWidth="1"/>
    <col min="2309" max="2309" width="18.28515625" style="2" customWidth="1"/>
    <col min="2310" max="2321" width="14" style="2" customWidth="1"/>
    <col min="2322" max="2322" width="28.28515625" style="2" customWidth="1"/>
    <col min="2323" max="2560" width="10.28515625" style="2"/>
    <col min="2561" max="2561" width="5.42578125" style="2" customWidth="1"/>
    <col min="2562" max="2562" width="84.140625" style="2" customWidth="1"/>
    <col min="2563" max="2563" width="66.42578125" style="2" customWidth="1"/>
    <col min="2564" max="2564" width="17" style="2" customWidth="1"/>
    <col min="2565" max="2565" width="18.28515625" style="2" customWidth="1"/>
    <col min="2566" max="2577" width="14" style="2" customWidth="1"/>
    <col min="2578" max="2578" width="28.28515625" style="2" customWidth="1"/>
    <col min="2579" max="2816" width="10.28515625" style="2"/>
    <col min="2817" max="2817" width="5.42578125" style="2" customWidth="1"/>
    <col min="2818" max="2818" width="84.140625" style="2" customWidth="1"/>
    <col min="2819" max="2819" width="66.42578125" style="2" customWidth="1"/>
    <col min="2820" max="2820" width="17" style="2" customWidth="1"/>
    <col min="2821" max="2821" width="18.28515625" style="2" customWidth="1"/>
    <col min="2822" max="2833" width="14" style="2" customWidth="1"/>
    <col min="2834" max="2834" width="28.28515625" style="2" customWidth="1"/>
    <col min="2835" max="3072" width="10.28515625" style="2"/>
    <col min="3073" max="3073" width="5.42578125" style="2" customWidth="1"/>
    <col min="3074" max="3074" width="84.140625" style="2" customWidth="1"/>
    <col min="3075" max="3075" width="66.42578125" style="2" customWidth="1"/>
    <col min="3076" max="3076" width="17" style="2" customWidth="1"/>
    <col min="3077" max="3077" width="18.28515625" style="2" customWidth="1"/>
    <col min="3078" max="3089" width="14" style="2" customWidth="1"/>
    <col min="3090" max="3090" width="28.28515625" style="2" customWidth="1"/>
    <col min="3091" max="3328" width="10.28515625" style="2"/>
    <col min="3329" max="3329" width="5.42578125" style="2" customWidth="1"/>
    <col min="3330" max="3330" width="84.140625" style="2" customWidth="1"/>
    <col min="3331" max="3331" width="66.42578125" style="2" customWidth="1"/>
    <col min="3332" max="3332" width="17" style="2" customWidth="1"/>
    <col min="3333" max="3333" width="18.28515625" style="2" customWidth="1"/>
    <col min="3334" max="3345" width="14" style="2" customWidth="1"/>
    <col min="3346" max="3346" width="28.28515625" style="2" customWidth="1"/>
    <col min="3347" max="3584" width="10.28515625" style="2"/>
    <col min="3585" max="3585" width="5.42578125" style="2" customWidth="1"/>
    <col min="3586" max="3586" width="84.140625" style="2" customWidth="1"/>
    <col min="3587" max="3587" width="66.42578125" style="2" customWidth="1"/>
    <col min="3588" max="3588" width="17" style="2" customWidth="1"/>
    <col min="3589" max="3589" width="18.28515625" style="2" customWidth="1"/>
    <col min="3590" max="3601" width="14" style="2" customWidth="1"/>
    <col min="3602" max="3602" width="28.28515625" style="2" customWidth="1"/>
    <col min="3603" max="3840" width="10.28515625" style="2"/>
    <col min="3841" max="3841" width="5.42578125" style="2" customWidth="1"/>
    <col min="3842" max="3842" width="84.140625" style="2" customWidth="1"/>
    <col min="3843" max="3843" width="66.42578125" style="2" customWidth="1"/>
    <col min="3844" max="3844" width="17" style="2" customWidth="1"/>
    <col min="3845" max="3845" width="18.28515625" style="2" customWidth="1"/>
    <col min="3846" max="3857" width="14" style="2" customWidth="1"/>
    <col min="3858" max="3858" width="28.28515625" style="2" customWidth="1"/>
    <col min="3859" max="4096" width="10.28515625" style="2"/>
    <col min="4097" max="4097" width="5.42578125" style="2" customWidth="1"/>
    <col min="4098" max="4098" width="84.140625" style="2" customWidth="1"/>
    <col min="4099" max="4099" width="66.42578125" style="2" customWidth="1"/>
    <col min="4100" max="4100" width="17" style="2" customWidth="1"/>
    <col min="4101" max="4101" width="18.28515625" style="2" customWidth="1"/>
    <col min="4102" max="4113" width="14" style="2" customWidth="1"/>
    <col min="4114" max="4114" width="28.28515625" style="2" customWidth="1"/>
    <col min="4115" max="4352" width="10.28515625" style="2"/>
    <col min="4353" max="4353" width="5.42578125" style="2" customWidth="1"/>
    <col min="4354" max="4354" width="84.140625" style="2" customWidth="1"/>
    <col min="4355" max="4355" width="66.42578125" style="2" customWidth="1"/>
    <col min="4356" max="4356" width="17" style="2" customWidth="1"/>
    <col min="4357" max="4357" width="18.28515625" style="2" customWidth="1"/>
    <col min="4358" max="4369" width="14" style="2" customWidth="1"/>
    <col min="4370" max="4370" width="28.28515625" style="2" customWidth="1"/>
    <col min="4371" max="4608" width="10.28515625" style="2"/>
    <col min="4609" max="4609" width="5.42578125" style="2" customWidth="1"/>
    <col min="4610" max="4610" width="84.140625" style="2" customWidth="1"/>
    <col min="4611" max="4611" width="66.42578125" style="2" customWidth="1"/>
    <col min="4612" max="4612" width="17" style="2" customWidth="1"/>
    <col min="4613" max="4613" width="18.28515625" style="2" customWidth="1"/>
    <col min="4614" max="4625" width="14" style="2" customWidth="1"/>
    <col min="4626" max="4626" width="28.28515625" style="2" customWidth="1"/>
    <col min="4627" max="4864" width="10.28515625" style="2"/>
    <col min="4865" max="4865" width="5.42578125" style="2" customWidth="1"/>
    <col min="4866" max="4866" width="84.140625" style="2" customWidth="1"/>
    <col min="4867" max="4867" width="66.42578125" style="2" customWidth="1"/>
    <col min="4868" max="4868" width="17" style="2" customWidth="1"/>
    <col min="4869" max="4869" width="18.28515625" style="2" customWidth="1"/>
    <col min="4870" max="4881" width="14" style="2" customWidth="1"/>
    <col min="4882" max="4882" width="28.28515625" style="2" customWidth="1"/>
    <col min="4883" max="5120" width="10.28515625" style="2"/>
    <col min="5121" max="5121" width="5.42578125" style="2" customWidth="1"/>
    <col min="5122" max="5122" width="84.140625" style="2" customWidth="1"/>
    <col min="5123" max="5123" width="66.42578125" style="2" customWidth="1"/>
    <col min="5124" max="5124" width="17" style="2" customWidth="1"/>
    <col min="5125" max="5125" width="18.28515625" style="2" customWidth="1"/>
    <col min="5126" max="5137" width="14" style="2" customWidth="1"/>
    <col min="5138" max="5138" width="28.28515625" style="2" customWidth="1"/>
    <col min="5139" max="5376" width="10.28515625" style="2"/>
    <col min="5377" max="5377" width="5.42578125" style="2" customWidth="1"/>
    <col min="5378" max="5378" width="84.140625" style="2" customWidth="1"/>
    <col min="5379" max="5379" width="66.42578125" style="2" customWidth="1"/>
    <col min="5380" max="5380" width="17" style="2" customWidth="1"/>
    <col min="5381" max="5381" width="18.28515625" style="2" customWidth="1"/>
    <col min="5382" max="5393" width="14" style="2" customWidth="1"/>
    <col min="5394" max="5394" width="28.28515625" style="2" customWidth="1"/>
    <col min="5395" max="5632" width="10.28515625" style="2"/>
    <col min="5633" max="5633" width="5.42578125" style="2" customWidth="1"/>
    <col min="5634" max="5634" width="84.140625" style="2" customWidth="1"/>
    <col min="5635" max="5635" width="66.42578125" style="2" customWidth="1"/>
    <col min="5636" max="5636" width="17" style="2" customWidth="1"/>
    <col min="5637" max="5637" width="18.28515625" style="2" customWidth="1"/>
    <col min="5638" max="5649" width="14" style="2" customWidth="1"/>
    <col min="5650" max="5650" width="28.28515625" style="2" customWidth="1"/>
    <col min="5651" max="5888" width="10.28515625" style="2"/>
    <col min="5889" max="5889" width="5.42578125" style="2" customWidth="1"/>
    <col min="5890" max="5890" width="84.140625" style="2" customWidth="1"/>
    <col min="5891" max="5891" width="66.42578125" style="2" customWidth="1"/>
    <col min="5892" max="5892" width="17" style="2" customWidth="1"/>
    <col min="5893" max="5893" width="18.28515625" style="2" customWidth="1"/>
    <col min="5894" max="5905" width="14" style="2" customWidth="1"/>
    <col min="5906" max="5906" width="28.28515625" style="2" customWidth="1"/>
    <col min="5907" max="6144" width="10.28515625" style="2"/>
    <col min="6145" max="6145" width="5.42578125" style="2" customWidth="1"/>
    <col min="6146" max="6146" width="84.140625" style="2" customWidth="1"/>
    <col min="6147" max="6147" width="66.42578125" style="2" customWidth="1"/>
    <col min="6148" max="6148" width="17" style="2" customWidth="1"/>
    <col min="6149" max="6149" width="18.28515625" style="2" customWidth="1"/>
    <col min="6150" max="6161" width="14" style="2" customWidth="1"/>
    <col min="6162" max="6162" width="28.28515625" style="2" customWidth="1"/>
    <col min="6163" max="6400" width="10.28515625" style="2"/>
    <col min="6401" max="6401" width="5.42578125" style="2" customWidth="1"/>
    <col min="6402" max="6402" width="84.140625" style="2" customWidth="1"/>
    <col min="6403" max="6403" width="66.42578125" style="2" customWidth="1"/>
    <col min="6404" max="6404" width="17" style="2" customWidth="1"/>
    <col min="6405" max="6405" width="18.28515625" style="2" customWidth="1"/>
    <col min="6406" max="6417" width="14" style="2" customWidth="1"/>
    <col min="6418" max="6418" width="28.28515625" style="2" customWidth="1"/>
    <col min="6419" max="6656" width="10.28515625" style="2"/>
    <col min="6657" max="6657" width="5.42578125" style="2" customWidth="1"/>
    <col min="6658" max="6658" width="84.140625" style="2" customWidth="1"/>
    <col min="6659" max="6659" width="66.42578125" style="2" customWidth="1"/>
    <col min="6660" max="6660" width="17" style="2" customWidth="1"/>
    <col min="6661" max="6661" width="18.28515625" style="2" customWidth="1"/>
    <col min="6662" max="6673" width="14" style="2" customWidth="1"/>
    <col min="6674" max="6674" width="28.28515625" style="2" customWidth="1"/>
    <col min="6675" max="6912" width="10.28515625" style="2"/>
    <col min="6913" max="6913" width="5.42578125" style="2" customWidth="1"/>
    <col min="6914" max="6914" width="84.140625" style="2" customWidth="1"/>
    <col min="6915" max="6915" width="66.42578125" style="2" customWidth="1"/>
    <col min="6916" max="6916" width="17" style="2" customWidth="1"/>
    <col min="6917" max="6917" width="18.28515625" style="2" customWidth="1"/>
    <col min="6918" max="6929" width="14" style="2" customWidth="1"/>
    <col min="6930" max="6930" width="28.28515625" style="2" customWidth="1"/>
    <col min="6931" max="7168" width="10.28515625" style="2"/>
    <col min="7169" max="7169" width="5.42578125" style="2" customWidth="1"/>
    <col min="7170" max="7170" width="84.140625" style="2" customWidth="1"/>
    <col min="7171" max="7171" width="66.42578125" style="2" customWidth="1"/>
    <col min="7172" max="7172" width="17" style="2" customWidth="1"/>
    <col min="7173" max="7173" width="18.28515625" style="2" customWidth="1"/>
    <col min="7174" max="7185" width="14" style="2" customWidth="1"/>
    <col min="7186" max="7186" width="28.28515625" style="2" customWidth="1"/>
    <col min="7187" max="7424" width="10.28515625" style="2"/>
    <col min="7425" max="7425" width="5.42578125" style="2" customWidth="1"/>
    <col min="7426" max="7426" width="84.140625" style="2" customWidth="1"/>
    <col min="7427" max="7427" width="66.42578125" style="2" customWidth="1"/>
    <col min="7428" max="7428" width="17" style="2" customWidth="1"/>
    <col min="7429" max="7429" width="18.28515625" style="2" customWidth="1"/>
    <col min="7430" max="7441" width="14" style="2" customWidth="1"/>
    <col min="7442" max="7442" width="28.28515625" style="2" customWidth="1"/>
    <col min="7443" max="7680" width="10.28515625" style="2"/>
    <col min="7681" max="7681" width="5.42578125" style="2" customWidth="1"/>
    <col min="7682" max="7682" width="84.140625" style="2" customWidth="1"/>
    <col min="7683" max="7683" width="66.42578125" style="2" customWidth="1"/>
    <col min="7684" max="7684" width="17" style="2" customWidth="1"/>
    <col min="7685" max="7685" width="18.28515625" style="2" customWidth="1"/>
    <col min="7686" max="7697" width="14" style="2" customWidth="1"/>
    <col min="7698" max="7698" width="28.28515625" style="2" customWidth="1"/>
    <col min="7699" max="7936" width="10.28515625" style="2"/>
    <col min="7937" max="7937" width="5.42578125" style="2" customWidth="1"/>
    <col min="7938" max="7938" width="84.140625" style="2" customWidth="1"/>
    <col min="7939" max="7939" width="66.42578125" style="2" customWidth="1"/>
    <col min="7940" max="7940" width="17" style="2" customWidth="1"/>
    <col min="7941" max="7941" width="18.28515625" style="2" customWidth="1"/>
    <col min="7942" max="7953" width="14" style="2" customWidth="1"/>
    <col min="7954" max="7954" width="28.28515625" style="2" customWidth="1"/>
    <col min="7955" max="8192" width="10.28515625" style="2"/>
    <col min="8193" max="8193" width="5.42578125" style="2" customWidth="1"/>
    <col min="8194" max="8194" width="84.140625" style="2" customWidth="1"/>
    <col min="8195" max="8195" width="66.42578125" style="2" customWidth="1"/>
    <col min="8196" max="8196" width="17" style="2" customWidth="1"/>
    <col min="8197" max="8197" width="18.28515625" style="2" customWidth="1"/>
    <col min="8198" max="8209" width="14" style="2" customWidth="1"/>
    <col min="8210" max="8210" width="28.28515625" style="2" customWidth="1"/>
    <col min="8211" max="8448" width="10.28515625" style="2"/>
    <col min="8449" max="8449" width="5.42578125" style="2" customWidth="1"/>
    <col min="8450" max="8450" width="84.140625" style="2" customWidth="1"/>
    <col min="8451" max="8451" width="66.42578125" style="2" customWidth="1"/>
    <col min="8452" max="8452" width="17" style="2" customWidth="1"/>
    <col min="8453" max="8453" width="18.28515625" style="2" customWidth="1"/>
    <col min="8454" max="8465" width="14" style="2" customWidth="1"/>
    <col min="8466" max="8466" width="28.28515625" style="2" customWidth="1"/>
    <col min="8467" max="8704" width="10.28515625" style="2"/>
    <col min="8705" max="8705" width="5.42578125" style="2" customWidth="1"/>
    <col min="8706" max="8706" width="84.140625" style="2" customWidth="1"/>
    <col min="8707" max="8707" width="66.42578125" style="2" customWidth="1"/>
    <col min="8708" max="8708" width="17" style="2" customWidth="1"/>
    <col min="8709" max="8709" width="18.28515625" style="2" customWidth="1"/>
    <col min="8710" max="8721" width="14" style="2" customWidth="1"/>
    <col min="8722" max="8722" width="28.28515625" style="2" customWidth="1"/>
    <col min="8723" max="8960" width="10.28515625" style="2"/>
    <col min="8961" max="8961" width="5.42578125" style="2" customWidth="1"/>
    <col min="8962" max="8962" width="84.140625" style="2" customWidth="1"/>
    <col min="8963" max="8963" width="66.42578125" style="2" customWidth="1"/>
    <col min="8964" max="8964" width="17" style="2" customWidth="1"/>
    <col min="8965" max="8965" width="18.28515625" style="2" customWidth="1"/>
    <col min="8966" max="8977" width="14" style="2" customWidth="1"/>
    <col min="8978" max="8978" width="28.28515625" style="2" customWidth="1"/>
    <col min="8979" max="9216" width="10.28515625" style="2"/>
    <col min="9217" max="9217" width="5.42578125" style="2" customWidth="1"/>
    <col min="9218" max="9218" width="84.140625" style="2" customWidth="1"/>
    <col min="9219" max="9219" width="66.42578125" style="2" customWidth="1"/>
    <col min="9220" max="9220" width="17" style="2" customWidth="1"/>
    <col min="9221" max="9221" width="18.28515625" style="2" customWidth="1"/>
    <col min="9222" max="9233" width="14" style="2" customWidth="1"/>
    <col min="9234" max="9234" width="28.28515625" style="2" customWidth="1"/>
    <col min="9235" max="9472" width="10.28515625" style="2"/>
    <col min="9473" max="9473" width="5.42578125" style="2" customWidth="1"/>
    <col min="9474" max="9474" width="84.140625" style="2" customWidth="1"/>
    <col min="9475" max="9475" width="66.42578125" style="2" customWidth="1"/>
    <col min="9476" max="9476" width="17" style="2" customWidth="1"/>
    <col min="9477" max="9477" width="18.28515625" style="2" customWidth="1"/>
    <col min="9478" max="9489" width="14" style="2" customWidth="1"/>
    <col min="9490" max="9490" width="28.28515625" style="2" customWidth="1"/>
    <col min="9491" max="9728" width="10.28515625" style="2"/>
    <col min="9729" max="9729" width="5.42578125" style="2" customWidth="1"/>
    <col min="9730" max="9730" width="84.140625" style="2" customWidth="1"/>
    <col min="9731" max="9731" width="66.42578125" style="2" customWidth="1"/>
    <col min="9732" max="9732" width="17" style="2" customWidth="1"/>
    <col min="9733" max="9733" width="18.28515625" style="2" customWidth="1"/>
    <col min="9734" max="9745" width="14" style="2" customWidth="1"/>
    <col min="9746" max="9746" width="28.28515625" style="2" customWidth="1"/>
    <col min="9747" max="9984" width="10.28515625" style="2"/>
    <col min="9985" max="9985" width="5.42578125" style="2" customWidth="1"/>
    <col min="9986" max="9986" width="84.140625" style="2" customWidth="1"/>
    <col min="9987" max="9987" width="66.42578125" style="2" customWidth="1"/>
    <col min="9988" max="9988" width="17" style="2" customWidth="1"/>
    <col min="9989" max="9989" width="18.28515625" style="2" customWidth="1"/>
    <col min="9990" max="10001" width="14" style="2" customWidth="1"/>
    <col min="10002" max="10002" width="28.28515625" style="2" customWidth="1"/>
    <col min="10003" max="10240" width="10.28515625" style="2"/>
    <col min="10241" max="10241" width="5.42578125" style="2" customWidth="1"/>
    <col min="10242" max="10242" width="84.140625" style="2" customWidth="1"/>
    <col min="10243" max="10243" width="66.42578125" style="2" customWidth="1"/>
    <col min="10244" max="10244" width="17" style="2" customWidth="1"/>
    <col min="10245" max="10245" width="18.28515625" style="2" customWidth="1"/>
    <col min="10246" max="10257" width="14" style="2" customWidth="1"/>
    <col min="10258" max="10258" width="28.28515625" style="2" customWidth="1"/>
    <col min="10259" max="10496" width="10.28515625" style="2"/>
    <col min="10497" max="10497" width="5.42578125" style="2" customWidth="1"/>
    <col min="10498" max="10498" width="84.140625" style="2" customWidth="1"/>
    <col min="10499" max="10499" width="66.42578125" style="2" customWidth="1"/>
    <col min="10500" max="10500" width="17" style="2" customWidth="1"/>
    <col min="10501" max="10501" width="18.28515625" style="2" customWidth="1"/>
    <col min="10502" max="10513" width="14" style="2" customWidth="1"/>
    <col min="10514" max="10514" width="28.28515625" style="2" customWidth="1"/>
    <col min="10515" max="10752" width="10.28515625" style="2"/>
    <col min="10753" max="10753" width="5.42578125" style="2" customWidth="1"/>
    <col min="10754" max="10754" width="84.140625" style="2" customWidth="1"/>
    <col min="10755" max="10755" width="66.42578125" style="2" customWidth="1"/>
    <col min="10756" max="10756" width="17" style="2" customWidth="1"/>
    <col min="10757" max="10757" width="18.28515625" style="2" customWidth="1"/>
    <col min="10758" max="10769" width="14" style="2" customWidth="1"/>
    <col min="10770" max="10770" width="28.28515625" style="2" customWidth="1"/>
    <col min="10771" max="11008" width="10.28515625" style="2"/>
    <col min="11009" max="11009" width="5.42578125" style="2" customWidth="1"/>
    <col min="11010" max="11010" width="84.140625" style="2" customWidth="1"/>
    <col min="11011" max="11011" width="66.42578125" style="2" customWidth="1"/>
    <col min="11012" max="11012" width="17" style="2" customWidth="1"/>
    <col min="11013" max="11013" width="18.28515625" style="2" customWidth="1"/>
    <col min="11014" max="11025" width="14" style="2" customWidth="1"/>
    <col min="11026" max="11026" width="28.28515625" style="2" customWidth="1"/>
    <col min="11027" max="11264" width="10.28515625" style="2"/>
    <col min="11265" max="11265" width="5.42578125" style="2" customWidth="1"/>
    <col min="11266" max="11266" width="84.140625" style="2" customWidth="1"/>
    <col min="11267" max="11267" width="66.42578125" style="2" customWidth="1"/>
    <col min="11268" max="11268" width="17" style="2" customWidth="1"/>
    <col min="11269" max="11269" width="18.28515625" style="2" customWidth="1"/>
    <col min="11270" max="11281" width="14" style="2" customWidth="1"/>
    <col min="11282" max="11282" width="28.28515625" style="2" customWidth="1"/>
    <col min="11283" max="11520" width="10.28515625" style="2"/>
    <col min="11521" max="11521" width="5.42578125" style="2" customWidth="1"/>
    <col min="11522" max="11522" width="84.140625" style="2" customWidth="1"/>
    <col min="11523" max="11523" width="66.42578125" style="2" customWidth="1"/>
    <col min="11524" max="11524" width="17" style="2" customWidth="1"/>
    <col min="11525" max="11525" width="18.28515625" style="2" customWidth="1"/>
    <col min="11526" max="11537" width="14" style="2" customWidth="1"/>
    <col min="11538" max="11538" width="28.28515625" style="2" customWidth="1"/>
    <col min="11539" max="11776" width="10.28515625" style="2"/>
    <col min="11777" max="11777" width="5.42578125" style="2" customWidth="1"/>
    <col min="11778" max="11778" width="84.140625" style="2" customWidth="1"/>
    <col min="11779" max="11779" width="66.42578125" style="2" customWidth="1"/>
    <col min="11780" max="11780" width="17" style="2" customWidth="1"/>
    <col min="11781" max="11781" width="18.28515625" style="2" customWidth="1"/>
    <col min="11782" max="11793" width="14" style="2" customWidth="1"/>
    <col min="11794" max="11794" width="28.28515625" style="2" customWidth="1"/>
    <col min="11795" max="12032" width="10.28515625" style="2"/>
    <col min="12033" max="12033" width="5.42578125" style="2" customWidth="1"/>
    <col min="12034" max="12034" width="84.140625" style="2" customWidth="1"/>
    <col min="12035" max="12035" width="66.42578125" style="2" customWidth="1"/>
    <col min="12036" max="12036" width="17" style="2" customWidth="1"/>
    <col min="12037" max="12037" width="18.28515625" style="2" customWidth="1"/>
    <col min="12038" max="12049" width="14" style="2" customWidth="1"/>
    <col min="12050" max="12050" width="28.28515625" style="2" customWidth="1"/>
    <col min="12051" max="12288" width="10.28515625" style="2"/>
    <col min="12289" max="12289" width="5.42578125" style="2" customWidth="1"/>
    <col min="12290" max="12290" width="84.140625" style="2" customWidth="1"/>
    <col min="12291" max="12291" width="66.42578125" style="2" customWidth="1"/>
    <col min="12292" max="12292" width="17" style="2" customWidth="1"/>
    <col min="12293" max="12293" width="18.28515625" style="2" customWidth="1"/>
    <col min="12294" max="12305" width="14" style="2" customWidth="1"/>
    <col min="12306" max="12306" width="28.28515625" style="2" customWidth="1"/>
    <col min="12307" max="12544" width="10.28515625" style="2"/>
    <col min="12545" max="12545" width="5.42578125" style="2" customWidth="1"/>
    <col min="12546" max="12546" width="84.140625" style="2" customWidth="1"/>
    <col min="12547" max="12547" width="66.42578125" style="2" customWidth="1"/>
    <col min="12548" max="12548" width="17" style="2" customWidth="1"/>
    <col min="12549" max="12549" width="18.28515625" style="2" customWidth="1"/>
    <col min="12550" max="12561" width="14" style="2" customWidth="1"/>
    <col min="12562" max="12562" width="28.28515625" style="2" customWidth="1"/>
    <col min="12563" max="12800" width="10.28515625" style="2"/>
    <col min="12801" max="12801" width="5.42578125" style="2" customWidth="1"/>
    <col min="12802" max="12802" width="84.140625" style="2" customWidth="1"/>
    <col min="12803" max="12803" width="66.42578125" style="2" customWidth="1"/>
    <col min="12804" max="12804" width="17" style="2" customWidth="1"/>
    <col min="12805" max="12805" width="18.28515625" style="2" customWidth="1"/>
    <col min="12806" max="12817" width="14" style="2" customWidth="1"/>
    <col min="12818" max="12818" width="28.28515625" style="2" customWidth="1"/>
    <col min="12819" max="13056" width="10.28515625" style="2"/>
    <col min="13057" max="13057" width="5.42578125" style="2" customWidth="1"/>
    <col min="13058" max="13058" width="84.140625" style="2" customWidth="1"/>
    <col min="13059" max="13059" width="66.42578125" style="2" customWidth="1"/>
    <col min="13060" max="13060" width="17" style="2" customWidth="1"/>
    <col min="13061" max="13061" width="18.28515625" style="2" customWidth="1"/>
    <col min="13062" max="13073" width="14" style="2" customWidth="1"/>
    <col min="13074" max="13074" width="28.28515625" style="2" customWidth="1"/>
    <col min="13075" max="13312" width="10.28515625" style="2"/>
    <col min="13313" max="13313" width="5.42578125" style="2" customWidth="1"/>
    <col min="13314" max="13314" width="84.140625" style="2" customWidth="1"/>
    <col min="13315" max="13315" width="66.42578125" style="2" customWidth="1"/>
    <col min="13316" max="13316" width="17" style="2" customWidth="1"/>
    <col min="13317" max="13317" width="18.28515625" style="2" customWidth="1"/>
    <col min="13318" max="13329" width="14" style="2" customWidth="1"/>
    <col min="13330" max="13330" width="28.28515625" style="2" customWidth="1"/>
    <col min="13331" max="13568" width="10.28515625" style="2"/>
    <col min="13569" max="13569" width="5.42578125" style="2" customWidth="1"/>
    <col min="13570" max="13570" width="84.140625" style="2" customWidth="1"/>
    <col min="13571" max="13571" width="66.42578125" style="2" customWidth="1"/>
    <col min="13572" max="13572" width="17" style="2" customWidth="1"/>
    <col min="13573" max="13573" width="18.28515625" style="2" customWidth="1"/>
    <col min="13574" max="13585" width="14" style="2" customWidth="1"/>
    <col min="13586" max="13586" width="28.28515625" style="2" customWidth="1"/>
    <col min="13587" max="13824" width="10.28515625" style="2"/>
    <col min="13825" max="13825" width="5.42578125" style="2" customWidth="1"/>
    <col min="13826" max="13826" width="84.140625" style="2" customWidth="1"/>
    <col min="13827" max="13827" width="66.42578125" style="2" customWidth="1"/>
    <col min="13828" max="13828" width="17" style="2" customWidth="1"/>
    <col min="13829" max="13829" width="18.28515625" style="2" customWidth="1"/>
    <col min="13830" max="13841" width="14" style="2" customWidth="1"/>
    <col min="13842" max="13842" width="28.28515625" style="2" customWidth="1"/>
    <col min="13843" max="14080" width="10.28515625" style="2"/>
    <col min="14081" max="14081" width="5.42578125" style="2" customWidth="1"/>
    <col min="14082" max="14082" width="84.140625" style="2" customWidth="1"/>
    <col min="14083" max="14083" width="66.42578125" style="2" customWidth="1"/>
    <col min="14084" max="14084" width="17" style="2" customWidth="1"/>
    <col min="14085" max="14085" width="18.28515625" style="2" customWidth="1"/>
    <col min="14086" max="14097" width="14" style="2" customWidth="1"/>
    <col min="14098" max="14098" width="28.28515625" style="2" customWidth="1"/>
    <col min="14099" max="14336" width="10.28515625" style="2"/>
    <col min="14337" max="14337" width="5.42578125" style="2" customWidth="1"/>
    <col min="14338" max="14338" width="84.140625" style="2" customWidth="1"/>
    <col min="14339" max="14339" width="66.42578125" style="2" customWidth="1"/>
    <col min="14340" max="14340" width="17" style="2" customWidth="1"/>
    <col min="14341" max="14341" width="18.28515625" style="2" customWidth="1"/>
    <col min="14342" max="14353" width="14" style="2" customWidth="1"/>
    <col min="14354" max="14354" width="28.28515625" style="2" customWidth="1"/>
    <col min="14355" max="14592" width="10.28515625" style="2"/>
    <col min="14593" max="14593" width="5.42578125" style="2" customWidth="1"/>
    <col min="14594" max="14594" width="84.140625" style="2" customWidth="1"/>
    <col min="14595" max="14595" width="66.42578125" style="2" customWidth="1"/>
    <col min="14596" max="14596" width="17" style="2" customWidth="1"/>
    <col min="14597" max="14597" width="18.28515625" style="2" customWidth="1"/>
    <col min="14598" max="14609" width="14" style="2" customWidth="1"/>
    <col min="14610" max="14610" width="28.28515625" style="2" customWidth="1"/>
    <col min="14611" max="14848" width="10.28515625" style="2"/>
    <col min="14849" max="14849" width="5.42578125" style="2" customWidth="1"/>
    <col min="14850" max="14850" width="84.140625" style="2" customWidth="1"/>
    <col min="14851" max="14851" width="66.42578125" style="2" customWidth="1"/>
    <col min="14852" max="14852" width="17" style="2" customWidth="1"/>
    <col min="14853" max="14853" width="18.28515625" style="2" customWidth="1"/>
    <col min="14854" max="14865" width="14" style="2" customWidth="1"/>
    <col min="14866" max="14866" width="28.28515625" style="2" customWidth="1"/>
    <col min="14867" max="15104" width="10.28515625" style="2"/>
    <col min="15105" max="15105" width="5.42578125" style="2" customWidth="1"/>
    <col min="15106" max="15106" width="84.140625" style="2" customWidth="1"/>
    <col min="15107" max="15107" width="66.42578125" style="2" customWidth="1"/>
    <col min="15108" max="15108" width="17" style="2" customWidth="1"/>
    <col min="15109" max="15109" width="18.28515625" style="2" customWidth="1"/>
    <col min="15110" max="15121" width="14" style="2" customWidth="1"/>
    <col min="15122" max="15122" width="28.28515625" style="2" customWidth="1"/>
    <col min="15123" max="15360" width="10.28515625" style="2"/>
    <col min="15361" max="15361" width="5.42578125" style="2" customWidth="1"/>
    <col min="15362" max="15362" width="84.140625" style="2" customWidth="1"/>
    <col min="15363" max="15363" width="66.42578125" style="2" customWidth="1"/>
    <col min="15364" max="15364" width="17" style="2" customWidth="1"/>
    <col min="15365" max="15365" width="18.28515625" style="2" customWidth="1"/>
    <col min="15366" max="15377" width="14" style="2" customWidth="1"/>
    <col min="15378" max="15378" width="28.28515625" style="2" customWidth="1"/>
    <col min="15379" max="15616" width="10.28515625" style="2"/>
    <col min="15617" max="15617" width="5.42578125" style="2" customWidth="1"/>
    <col min="15618" max="15618" width="84.140625" style="2" customWidth="1"/>
    <col min="15619" max="15619" width="66.42578125" style="2" customWidth="1"/>
    <col min="15620" max="15620" width="17" style="2" customWidth="1"/>
    <col min="15621" max="15621" width="18.28515625" style="2" customWidth="1"/>
    <col min="15622" max="15633" width="14" style="2" customWidth="1"/>
    <col min="15634" max="15634" width="28.28515625" style="2" customWidth="1"/>
    <col min="15635" max="15872" width="10.28515625" style="2"/>
    <col min="15873" max="15873" width="5.42578125" style="2" customWidth="1"/>
    <col min="15874" max="15874" width="84.140625" style="2" customWidth="1"/>
    <col min="15875" max="15875" width="66.42578125" style="2" customWidth="1"/>
    <col min="15876" max="15876" width="17" style="2" customWidth="1"/>
    <col min="15877" max="15877" width="18.28515625" style="2" customWidth="1"/>
    <col min="15878" max="15889" width="14" style="2" customWidth="1"/>
    <col min="15890" max="15890" width="28.28515625" style="2" customWidth="1"/>
    <col min="15891" max="16128" width="10.28515625" style="2"/>
    <col min="16129" max="16129" width="5.42578125" style="2" customWidth="1"/>
    <col min="16130" max="16130" width="84.140625" style="2" customWidth="1"/>
    <col min="16131" max="16131" width="66.42578125" style="2" customWidth="1"/>
    <col min="16132" max="16132" width="17" style="2" customWidth="1"/>
    <col min="16133" max="16133" width="18.28515625" style="2" customWidth="1"/>
    <col min="16134" max="16145" width="14" style="2" customWidth="1"/>
    <col min="16146" max="16146" width="28.28515625" style="2" customWidth="1"/>
    <col min="16147" max="16384" width="10.28515625" style="2"/>
  </cols>
  <sheetData>
    <row r="1" spans="1:18" ht="92.25" customHeight="1" x14ac:dyDescent="0.25">
      <c r="D1" s="63" t="s">
        <v>95</v>
      </c>
      <c r="E1" s="63"/>
      <c r="F1" s="58"/>
    </row>
    <row r="2" spans="1:18" ht="42.75" customHeight="1" x14ac:dyDescent="0.25">
      <c r="B2" s="64" t="s">
        <v>91</v>
      </c>
      <c r="C2" s="64"/>
      <c r="D2" s="64"/>
      <c r="E2" s="64"/>
    </row>
    <row r="3" spans="1:18" ht="19.5" customHeight="1" x14ac:dyDescent="0.25">
      <c r="A3" s="3"/>
      <c r="B3" s="4" t="s">
        <v>0</v>
      </c>
      <c r="C3" s="65" t="s">
        <v>92</v>
      </c>
      <c r="D3" s="66"/>
      <c r="E3" s="66"/>
      <c r="I3" s="5"/>
    </row>
    <row r="4" spans="1:18" ht="51.75" hidden="1" customHeight="1" x14ac:dyDescent="0.25">
      <c r="A4" s="3"/>
      <c r="B4" s="4" t="s">
        <v>1</v>
      </c>
      <c r="C4" s="67" t="s">
        <v>2</v>
      </c>
      <c r="D4" s="66"/>
      <c r="E4" s="66"/>
    </row>
    <row r="5" spans="1:18" ht="21" customHeight="1" x14ac:dyDescent="0.25">
      <c r="A5" s="3"/>
      <c r="B5" s="6" t="s">
        <v>3</v>
      </c>
      <c r="C5" s="68" t="s">
        <v>4</v>
      </c>
      <c r="D5" s="69">
        <f>SUM(D7:E8)</f>
        <v>11960.6</v>
      </c>
      <c r="E5" s="70"/>
      <c r="I5" s="5"/>
    </row>
    <row r="6" spans="1:18" ht="14.25" hidden="1" customHeight="1" x14ac:dyDescent="0.25">
      <c r="A6" s="3"/>
      <c r="B6" s="6" t="s">
        <v>5</v>
      </c>
      <c r="C6" s="68"/>
      <c r="D6" s="69">
        <v>3048.1</v>
      </c>
      <c r="E6" s="70"/>
    </row>
    <row r="7" spans="1:18" x14ac:dyDescent="0.25">
      <c r="A7" s="3"/>
      <c r="B7" s="6" t="s">
        <v>6</v>
      </c>
      <c r="C7" s="68"/>
      <c r="D7" s="69">
        <v>11960.6</v>
      </c>
      <c r="E7" s="69"/>
    </row>
    <row r="8" spans="1:18" x14ac:dyDescent="0.25">
      <c r="A8" s="3"/>
      <c r="B8" s="6" t="s">
        <v>7</v>
      </c>
      <c r="C8" s="68"/>
      <c r="D8" s="69"/>
      <c r="E8" s="70"/>
    </row>
    <row r="9" spans="1:18" ht="54" customHeight="1" x14ac:dyDescent="0.25">
      <c r="A9" s="3"/>
      <c r="B9" s="7" t="s">
        <v>8</v>
      </c>
      <c r="C9" s="68"/>
      <c r="D9" s="6" t="s">
        <v>9</v>
      </c>
      <c r="E9" s="8" t="s">
        <v>10</v>
      </c>
      <c r="J9" s="9"/>
    </row>
    <row r="10" spans="1:18" ht="181.5" customHeight="1" x14ac:dyDescent="0.25">
      <c r="A10" s="3">
        <v>1</v>
      </c>
      <c r="B10" s="10" t="s">
        <v>11</v>
      </c>
      <c r="C10" s="11" t="s">
        <v>12</v>
      </c>
      <c r="D10" s="12">
        <f>E10*12*D5</f>
        <v>737729.81</v>
      </c>
      <c r="E10" s="12">
        <v>5.14</v>
      </c>
      <c r="F10" s="9">
        <f>E10*12*2602.7</f>
        <v>160534.54</v>
      </c>
      <c r="G10" s="9">
        <f>D10-F10</f>
        <v>577195.27</v>
      </c>
      <c r="I10" s="13">
        <f>D10/12/D5</f>
        <v>5.14</v>
      </c>
      <c r="J10" s="13">
        <f>K10/12/D5</f>
        <v>3.16</v>
      </c>
      <c r="K10" s="2">
        <v>453592.8</v>
      </c>
      <c r="N10" s="9">
        <f>E10*12*$D$5-D10</f>
        <v>0</v>
      </c>
    </row>
    <row r="11" spans="1:18" ht="33.75" customHeight="1" x14ac:dyDescent="0.25">
      <c r="A11" s="3">
        <v>2</v>
      </c>
      <c r="B11" s="10" t="s">
        <v>13</v>
      </c>
      <c r="C11" s="14" t="s">
        <v>14</v>
      </c>
      <c r="D11" s="12">
        <f>E11*12*D5</f>
        <v>114821.75999999999</v>
      </c>
      <c r="E11" s="12">
        <v>0.8</v>
      </c>
      <c r="F11" s="9">
        <f>E11*12*2602.7</f>
        <v>24985.919999999998</v>
      </c>
      <c r="G11" s="9">
        <f>D11-F11</f>
        <v>89835.839999999997</v>
      </c>
      <c r="I11" s="2">
        <f>D11/D5/12</f>
        <v>0.8</v>
      </c>
      <c r="J11" s="9"/>
      <c r="N11" s="9">
        <f t="shared" ref="N11:N56" si="0">E11*12*$D$5-D11</f>
        <v>0</v>
      </c>
    </row>
    <row r="12" spans="1:18" ht="29.25" customHeight="1" x14ac:dyDescent="0.25">
      <c r="A12" s="3">
        <v>3</v>
      </c>
      <c r="B12" s="10" t="s">
        <v>15</v>
      </c>
      <c r="C12" s="10"/>
      <c r="D12" s="15">
        <f>SUM(D13:D18)</f>
        <v>403311.42</v>
      </c>
      <c r="E12" s="15">
        <v>2.81</v>
      </c>
      <c r="F12" s="9">
        <f>E12*12*2602.7</f>
        <v>87763.04</v>
      </c>
      <c r="G12" s="9">
        <f>D12-F12</f>
        <v>315548.38</v>
      </c>
      <c r="I12" s="2">
        <f>D12/12/D5</f>
        <v>2.8099999163921501</v>
      </c>
      <c r="J12" s="9"/>
      <c r="L12" s="16"/>
      <c r="M12" s="16"/>
      <c r="N12" s="9">
        <f t="shared" si="0"/>
        <v>0.01</v>
      </c>
    </row>
    <row r="13" spans="1:18" s="16" customFormat="1" ht="19.5" customHeight="1" x14ac:dyDescent="0.25">
      <c r="A13" s="17" t="s">
        <v>16</v>
      </c>
      <c r="B13" s="18" t="s">
        <v>17</v>
      </c>
      <c r="C13" s="19" t="s">
        <v>18</v>
      </c>
      <c r="D13" s="20">
        <f t="shared" ref="D13:D18" si="1">E13*$D$5*12</f>
        <v>144962.47</v>
      </c>
      <c r="E13" s="20">
        <f>E12*I13</f>
        <v>1.01</v>
      </c>
      <c r="I13" s="21">
        <v>0.35909999999999997</v>
      </c>
      <c r="K13" s="22"/>
      <c r="N13" s="9">
        <f t="shared" si="0"/>
        <v>0</v>
      </c>
      <c r="R13" s="22"/>
    </row>
    <row r="14" spans="1:18" s="16" customFormat="1" ht="21" customHeight="1" x14ac:dyDescent="0.25">
      <c r="A14" s="17" t="s">
        <v>19</v>
      </c>
      <c r="B14" s="18" t="s">
        <v>20</v>
      </c>
      <c r="C14" s="19" t="s">
        <v>21</v>
      </c>
      <c r="D14" s="20">
        <f t="shared" si="1"/>
        <v>101904.31</v>
      </c>
      <c r="E14" s="20">
        <f>E12*I14</f>
        <v>0.71</v>
      </c>
      <c r="I14" s="21">
        <v>0.25180000000000002</v>
      </c>
      <c r="K14" s="22"/>
      <c r="N14" s="9">
        <f t="shared" si="0"/>
        <v>0</v>
      </c>
    </row>
    <row r="15" spans="1:18" s="16" customFormat="1" ht="18.75" customHeight="1" x14ac:dyDescent="0.25">
      <c r="A15" s="17" t="s">
        <v>22</v>
      </c>
      <c r="B15" s="18" t="s">
        <v>23</v>
      </c>
      <c r="C15" s="19" t="s">
        <v>24</v>
      </c>
      <c r="D15" s="20">
        <f t="shared" si="1"/>
        <v>81810.5</v>
      </c>
      <c r="E15" s="20">
        <f>E12*I15</f>
        <v>0.56999999999999995</v>
      </c>
      <c r="I15" s="21">
        <f>0.2314-0.0298</f>
        <v>0.2016</v>
      </c>
      <c r="K15" s="22"/>
      <c r="N15" s="9">
        <f t="shared" si="0"/>
        <v>0</v>
      </c>
      <c r="Q15" s="23"/>
    </row>
    <row r="16" spans="1:18" s="16" customFormat="1" ht="14.25" customHeight="1" x14ac:dyDescent="0.25">
      <c r="A16" s="17" t="s">
        <v>25</v>
      </c>
      <c r="B16" s="18" t="s">
        <v>26</v>
      </c>
      <c r="C16" s="19" t="s">
        <v>18</v>
      </c>
      <c r="D16" s="20">
        <f t="shared" si="1"/>
        <v>2870.54</v>
      </c>
      <c r="E16" s="20">
        <f>E12*I16</f>
        <v>0.02</v>
      </c>
      <c r="I16" s="21">
        <v>6.8999999999999999E-3</v>
      </c>
      <c r="K16" s="22"/>
      <c r="N16" s="9">
        <f t="shared" si="0"/>
        <v>0</v>
      </c>
      <c r="Q16" s="23"/>
    </row>
    <row r="17" spans="1:17" s="16" customFormat="1" ht="48" customHeight="1" x14ac:dyDescent="0.25">
      <c r="A17" s="17" t="s">
        <v>27</v>
      </c>
      <c r="B17" s="18" t="s">
        <v>28</v>
      </c>
      <c r="C17" s="19" t="s">
        <v>29</v>
      </c>
      <c r="D17" s="20">
        <f t="shared" si="1"/>
        <v>57410.879999999997</v>
      </c>
      <c r="E17" s="20">
        <f>E12*I17</f>
        <v>0.4</v>
      </c>
      <c r="I17" s="21">
        <v>0.14369999999999999</v>
      </c>
      <c r="K17" s="22"/>
      <c r="N17" s="9">
        <f t="shared" si="0"/>
        <v>0</v>
      </c>
      <c r="Q17" s="23"/>
    </row>
    <row r="18" spans="1:17" s="16" customFormat="1" ht="25.5" customHeight="1" x14ac:dyDescent="0.25">
      <c r="A18" s="17" t="s">
        <v>30</v>
      </c>
      <c r="B18" s="18" t="s">
        <v>31</v>
      </c>
      <c r="C18" s="19" t="s">
        <v>32</v>
      </c>
      <c r="D18" s="20">
        <f t="shared" si="1"/>
        <v>14352.72</v>
      </c>
      <c r="E18" s="20">
        <f>E12*I18</f>
        <v>0.1</v>
      </c>
      <c r="I18" s="21">
        <v>3.6900000000000002E-2</v>
      </c>
      <c r="K18" s="22"/>
      <c r="N18" s="9">
        <f t="shared" si="0"/>
        <v>0</v>
      </c>
      <c r="Q18" s="23"/>
    </row>
    <row r="19" spans="1:17" ht="31.5" customHeight="1" x14ac:dyDescent="0.25">
      <c r="A19" s="3">
        <v>4</v>
      </c>
      <c r="B19" s="10" t="s">
        <v>33</v>
      </c>
      <c r="C19" s="10"/>
      <c r="D19" s="15">
        <f>D20+D26</f>
        <v>512392.1</v>
      </c>
      <c r="E19" s="15">
        <v>3.57</v>
      </c>
      <c r="F19" s="9" t="s">
        <v>34</v>
      </c>
      <c r="G19" s="9"/>
      <c r="I19" s="24">
        <f>D19/12/D5</f>
        <v>3.57</v>
      </c>
      <c r="J19" s="9"/>
      <c r="M19" s="16"/>
      <c r="N19" s="9">
        <f t="shared" si="0"/>
        <v>0</v>
      </c>
      <c r="O19" s="25">
        <f>E20+E26</f>
        <v>7.14</v>
      </c>
      <c r="Q19" s="1"/>
    </row>
    <row r="20" spans="1:17" s="16" customFormat="1" x14ac:dyDescent="0.25">
      <c r="A20" s="17"/>
      <c r="B20" s="26" t="s">
        <v>35</v>
      </c>
      <c r="C20" s="19"/>
      <c r="D20" s="27">
        <f>SUM(D21:D25)</f>
        <v>220314.25</v>
      </c>
      <c r="E20" s="27">
        <f>E19*I20</f>
        <v>3.06</v>
      </c>
      <c r="F20" s="28">
        <f>E20/E19</f>
        <v>0.86</v>
      </c>
      <c r="G20" s="29">
        <v>5.72</v>
      </c>
      <c r="I20" s="30">
        <v>0.85660000000000003</v>
      </c>
      <c r="K20" s="22"/>
      <c r="M20" s="22">
        <f>D20+D26</f>
        <v>512392.1</v>
      </c>
      <c r="N20" s="9">
        <f>E20*12*$D$5-D20</f>
        <v>218878.98</v>
      </c>
      <c r="O20" s="16">
        <f>O19/2</f>
        <v>3.57</v>
      </c>
      <c r="Q20" s="31"/>
    </row>
    <row r="21" spans="1:17" s="16" customFormat="1" ht="25.5" customHeight="1" x14ac:dyDescent="0.25">
      <c r="A21" s="32" t="s">
        <v>36</v>
      </c>
      <c r="B21" s="33" t="s">
        <v>37</v>
      </c>
      <c r="C21" s="19" t="s">
        <v>38</v>
      </c>
      <c r="D21" s="20">
        <f>E21*6*$D$5</f>
        <v>73916.509999999995</v>
      </c>
      <c r="E21" s="20">
        <f>$E$20*I21</f>
        <v>1.03</v>
      </c>
      <c r="F21" s="28">
        <f>E21/G21</f>
        <v>0.28999999999999998</v>
      </c>
      <c r="G21" s="29">
        <v>3.55</v>
      </c>
      <c r="H21" s="16">
        <v>0.44</v>
      </c>
      <c r="I21" s="21">
        <v>0.33500000000000002</v>
      </c>
      <c r="K21" s="22"/>
      <c r="N21" s="9">
        <f t="shared" si="0"/>
        <v>73916.509999999995</v>
      </c>
      <c r="Q21" s="23"/>
    </row>
    <row r="22" spans="1:17" s="16" customFormat="1" ht="20.25" customHeight="1" x14ac:dyDescent="0.25">
      <c r="A22" s="17" t="s">
        <v>39</v>
      </c>
      <c r="B22" s="33" t="s">
        <v>40</v>
      </c>
      <c r="C22" s="19" t="s">
        <v>41</v>
      </c>
      <c r="D22" s="20">
        <f>E22*6*$D$5</f>
        <v>37317.07</v>
      </c>
      <c r="E22" s="20">
        <f>$E$20*I22</f>
        <v>0.52</v>
      </c>
      <c r="F22" s="28">
        <f>E22/G22</f>
        <v>0.15</v>
      </c>
      <c r="G22" s="29">
        <v>3.55</v>
      </c>
      <c r="H22" s="16">
        <v>8.7999999999999995E-2</v>
      </c>
      <c r="I22" s="21">
        <v>0.17</v>
      </c>
      <c r="K22" s="22"/>
      <c r="N22" s="9">
        <f t="shared" si="0"/>
        <v>37317.07</v>
      </c>
      <c r="Q22" s="23"/>
    </row>
    <row r="23" spans="1:17" s="16" customFormat="1" x14ac:dyDescent="0.25">
      <c r="A23" s="32" t="s">
        <v>42</v>
      </c>
      <c r="B23" s="33" t="s">
        <v>43</v>
      </c>
      <c r="C23" s="19" t="s">
        <v>44</v>
      </c>
      <c r="D23" s="20">
        <f>E23*6*$D$5</f>
        <v>26552.53</v>
      </c>
      <c r="E23" s="20">
        <f>$E$20*I23</f>
        <v>0.37</v>
      </c>
      <c r="F23" s="28">
        <f>E23/G23</f>
        <v>0.1</v>
      </c>
      <c r="G23" s="29">
        <v>3.55</v>
      </c>
      <c r="H23" s="16">
        <v>0.46010000000000001</v>
      </c>
      <c r="I23" s="21">
        <v>0.12</v>
      </c>
      <c r="K23" s="22"/>
      <c r="N23" s="9">
        <f t="shared" si="0"/>
        <v>26552.53</v>
      </c>
      <c r="Q23" s="23"/>
    </row>
    <row r="24" spans="1:17" s="16" customFormat="1" x14ac:dyDescent="0.25">
      <c r="A24" s="17" t="s">
        <v>45</v>
      </c>
      <c r="B24" s="33" t="s">
        <v>46</v>
      </c>
      <c r="C24" s="19" t="s">
        <v>21</v>
      </c>
      <c r="D24" s="20">
        <f>E24*6*$D$5</f>
        <v>22246.720000000001</v>
      </c>
      <c r="E24" s="20">
        <f>$E$20*I24</f>
        <v>0.31</v>
      </c>
      <c r="F24" s="28">
        <f>E24/G24</f>
        <v>0.09</v>
      </c>
      <c r="G24" s="29">
        <v>3.55</v>
      </c>
      <c r="H24" s="16">
        <v>8.0000000000000004E-4</v>
      </c>
      <c r="I24" s="21">
        <v>0.1</v>
      </c>
      <c r="K24" s="22"/>
      <c r="N24" s="9">
        <f t="shared" si="0"/>
        <v>22246.71</v>
      </c>
      <c r="Q24" s="23"/>
    </row>
    <row r="25" spans="1:17" s="16" customFormat="1" x14ac:dyDescent="0.25">
      <c r="A25" s="17" t="s">
        <v>47</v>
      </c>
      <c r="B25" s="33" t="s">
        <v>48</v>
      </c>
      <c r="C25" s="19" t="s">
        <v>49</v>
      </c>
      <c r="D25" s="20">
        <f>E25*6*$D$5</f>
        <v>60281.42</v>
      </c>
      <c r="E25" s="20">
        <f>$E$20*I25</f>
        <v>0.84</v>
      </c>
      <c r="F25" s="28"/>
      <c r="G25" s="29"/>
      <c r="I25" s="21">
        <v>0.27500000000000002</v>
      </c>
      <c r="K25" s="22"/>
      <c r="N25" s="9">
        <f t="shared" si="0"/>
        <v>60281.43</v>
      </c>
      <c r="Q25" s="23"/>
    </row>
    <row r="26" spans="1:17" s="16" customFormat="1" x14ac:dyDescent="0.25">
      <c r="A26" s="17"/>
      <c r="B26" s="26" t="s">
        <v>50</v>
      </c>
      <c r="C26" s="19"/>
      <c r="D26" s="27">
        <f>SUM(D27:D33)</f>
        <v>292077.84999999998</v>
      </c>
      <c r="E26" s="27">
        <f>E19*I26</f>
        <v>4.08</v>
      </c>
      <c r="F26" s="34">
        <f t="shared" ref="F26:F32" si="2">E26/G26</f>
        <v>0.713286713286713</v>
      </c>
      <c r="G26" s="29">
        <v>5.72</v>
      </c>
      <c r="I26" s="30">
        <f>2-I20</f>
        <v>1.1434</v>
      </c>
      <c r="J26" s="35"/>
      <c r="K26" s="22"/>
      <c r="N26" s="9">
        <f t="shared" si="0"/>
        <v>293513.13</v>
      </c>
      <c r="Q26" s="23"/>
    </row>
    <row r="27" spans="1:17" s="16" customFormat="1" ht="16.5" customHeight="1" x14ac:dyDescent="0.25">
      <c r="A27" s="17" t="s">
        <v>51</v>
      </c>
      <c r="B27" s="18" t="s">
        <v>52</v>
      </c>
      <c r="C27" s="19" t="s">
        <v>53</v>
      </c>
      <c r="D27" s="20">
        <f t="shared" ref="D27:D33" si="3">E27*6*$D$5</f>
        <v>101186.68</v>
      </c>
      <c r="E27" s="20">
        <f t="shared" ref="E27:E33" si="4">$E$26*I27</f>
        <v>1.41</v>
      </c>
      <c r="F27" s="28">
        <f t="shared" si="2"/>
        <v>0.18</v>
      </c>
      <c r="G27" s="29">
        <v>7.89</v>
      </c>
      <c r="H27" s="16">
        <v>0.45450000000000002</v>
      </c>
      <c r="I27" s="21">
        <v>0.34670000000000001</v>
      </c>
      <c r="K27" s="22"/>
      <c r="N27" s="9">
        <f t="shared" si="0"/>
        <v>101186.67</v>
      </c>
      <c r="Q27" s="23"/>
    </row>
    <row r="28" spans="1:17" s="16" customFormat="1" ht="15" customHeight="1" x14ac:dyDescent="0.25">
      <c r="A28" s="17" t="s">
        <v>54</v>
      </c>
      <c r="B28" s="18" t="s">
        <v>55</v>
      </c>
      <c r="C28" s="19" t="s">
        <v>56</v>
      </c>
      <c r="D28" s="20">
        <f t="shared" si="3"/>
        <v>40905.25</v>
      </c>
      <c r="E28" s="20">
        <f t="shared" si="4"/>
        <v>0.56999999999999995</v>
      </c>
      <c r="F28" s="28">
        <f t="shared" si="2"/>
        <v>7.0000000000000007E-2</v>
      </c>
      <c r="G28" s="29">
        <v>7.89</v>
      </c>
      <c r="H28" s="16">
        <v>0.4632</v>
      </c>
      <c r="I28" s="21">
        <v>0.14000000000000001</v>
      </c>
      <c r="K28" s="22"/>
      <c r="L28" s="2"/>
      <c r="M28" s="2"/>
      <c r="N28" s="9">
        <f t="shared" si="0"/>
        <v>40905.25</v>
      </c>
    </row>
    <row r="29" spans="1:17" s="16" customFormat="1" ht="20.25" customHeight="1" x14ac:dyDescent="0.25">
      <c r="A29" s="32" t="s">
        <v>57</v>
      </c>
      <c r="B29" s="18" t="s">
        <v>58</v>
      </c>
      <c r="C29" s="19" t="s">
        <v>59</v>
      </c>
      <c r="D29" s="20">
        <f t="shared" si="3"/>
        <v>23681.99</v>
      </c>
      <c r="E29" s="20">
        <f t="shared" si="4"/>
        <v>0.33</v>
      </c>
      <c r="F29" s="28">
        <f t="shared" si="2"/>
        <v>0.04</v>
      </c>
      <c r="G29" s="29">
        <v>7.89</v>
      </c>
      <c r="H29" s="16">
        <v>1.29E-2</v>
      </c>
      <c r="I29" s="21">
        <v>0.08</v>
      </c>
      <c r="K29" s="22"/>
      <c r="N29" s="9">
        <f t="shared" si="0"/>
        <v>23681.99</v>
      </c>
    </row>
    <row r="30" spans="1:17" s="16" customFormat="1" ht="19.5" customHeight="1" x14ac:dyDescent="0.25">
      <c r="A30" s="17" t="s">
        <v>60</v>
      </c>
      <c r="B30" s="18" t="s">
        <v>61</v>
      </c>
      <c r="C30" s="19" t="s">
        <v>62</v>
      </c>
      <c r="D30" s="20">
        <f t="shared" si="3"/>
        <v>13635.08</v>
      </c>
      <c r="E30" s="20">
        <f t="shared" si="4"/>
        <v>0.19</v>
      </c>
      <c r="F30" s="28">
        <f t="shared" si="2"/>
        <v>0.02</v>
      </c>
      <c r="G30" s="29">
        <v>7.89</v>
      </c>
      <c r="H30" s="16">
        <v>4.7600000000000003E-2</v>
      </c>
      <c r="I30" s="21">
        <v>4.7E-2</v>
      </c>
      <c r="K30" s="22"/>
      <c r="N30" s="9">
        <f t="shared" si="0"/>
        <v>13635.09</v>
      </c>
    </row>
    <row r="31" spans="1:17" s="16" customFormat="1" ht="18.75" customHeight="1" x14ac:dyDescent="0.25">
      <c r="A31" s="17" t="s">
        <v>63</v>
      </c>
      <c r="B31" s="18" t="s">
        <v>64</v>
      </c>
      <c r="C31" s="19" t="s">
        <v>65</v>
      </c>
      <c r="D31" s="20">
        <f t="shared" si="3"/>
        <v>8611.6299999999992</v>
      </c>
      <c r="E31" s="20">
        <f t="shared" si="4"/>
        <v>0.12</v>
      </c>
      <c r="F31" s="28">
        <f t="shared" si="2"/>
        <v>0.02</v>
      </c>
      <c r="G31" s="29">
        <v>7.89</v>
      </c>
      <c r="H31" s="16">
        <v>4.3E-3</v>
      </c>
      <c r="I31" s="21">
        <v>0.03</v>
      </c>
      <c r="K31" s="22"/>
      <c r="N31" s="9">
        <f t="shared" si="0"/>
        <v>8611.6299999999992</v>
      </c>
    </row>
    <row r="32" spans="1:17" s="16" customFormat="1" x14ac:dyDescent="0.25">
      <c r="A32" s="17" t="s">
        <v>66</v>
      </c>
      <c r="B32" s="18" t="s">
        <v>67</v>
      </c>
      <c r="C32" s="19" t="s">
        <v>68</v>
      </c>
      <c r="D32" s="20">
        <f t="shared" si="3"/>
        <v>43775.8</v>
      </c>
      <c r="E32" s="20">
        <f t="shared" si="4"/>
        <v>0.61</v>
      </c>
      <c r="F32" s="28">
        <f t="shared" si="2"/>
        <v>0.08</v>
      </c>
      <c r="G32" s="29">
        <v>7.89</v>
      </c>
      <c r="H32" s="16">
        <f>1-H27-H28-H29-H30-H31</f>
        <v>1.7500000000000002E-2</v>
      </c>
      <c r="I32" s="21">
        <v>0.15</v>
      </c>
      <c r="K32" s="22"/>
      <c r="N32" s="9">
        <f t="shared" si="0"/>
        <v>43775.79</v>
      </c>
    </row>
    <row r="33" spans="1:16" s="16" customFormat="1" x14ac:dyDescent="0.25">
      <c r="A33" s="17" t="s">
        <v>69</v>
      </c>
      <c r="B33" s="18" t="s">
        <v>70</v>
      </c>
      <c r="C33" s="19" t="s">
        <v>49</v>
      </c>
      <c r="D33" s="20">
        <f t="shared" si="3"/>
        <v>60281.42</v>
      </c>
      <c r="E33" s="20">
        <f t="shared" si="4"/>
        <v>0.84</v>
      </c>
      <c r="F33" s="36"/>
      <c r="G33" s="37"/>
      <c r="I33" s="21">
        <v>0.20630000000000001</v>
      </c>
      <c r="K33" s="22"/>
      <c r="N33" s="9">
        <f t="shared" si="0"/>
        <v>60281.43</v>
      </c>
    </row>
    <row r="34" spans="1:16" s="16" customFormat="1" ht="45.75" customHeight="1" x14ac:dyDescent="0.25">
      <c r="A34" s="17">
        <v>5</v>
      </c>
      <c r="B34" s="38" t="s">
        <v>71</v>
      </c>
      <c r="C34" s="14" t="s">
        <v>72</v>
      </c>
      <c r="D34" s="15">
        <f>E34*12*D5</f>
        <v>7176.36</v>
      </c>
      <c r="E34" s="39">
        <v>0.05</v>
      </c>
      <c r="F34" s="36"/>
      <c r="G34" s="37"/>
      <c r="I34" s="21"/>
      <c r="K34" s="22"/>
      <c r="N34" s="9">
        <f t="shared" si="0"/>
        <v>0</v>
      </c>
    </row>
    <row r="35" spans="1:16" ht="14.25" customHeight="1" x14ac:dyDescent="0.25">
      <c r="A35" s="40">
        <v>6</v>
      </c>
      <c r="B35" s="38" t="s">
        <v>73</v>
      </c>
      <c r="C35" s="41"/>
      <c r="D35" s="42">
        <f>3540.34*12*5</f>
        <v>212420.4</v>
      </c>
      <c r="E35" s="12">
        <f>D35/12/D5</f>
        <v>1.48</v>
      </c>
      <c r="J35" s="9"/>
      <c r="N35" s="9">
        <f t="shared" si="0"/>
        <v>-0.14000000000000001</v>
      </c>
      <c r="P35" s="2">
        <f>3540.34*5*12</f>
        <v>212420.4</v>
      </c>
    </row>
    <row r="36" spans="1:16" ht="14.25" customHeight="1" x14ac:dyDescent="0.25">
      <c r="A36" s="40">
        <v>7</v>
      </c>
      <c r="B36" s="38" t="s">
        <v>74</v>
      </c>
      <c r="C36" s="43"/>
      <c r="D36" s="12">
        <v>26400</v>
      </c>
      <c r="E36" s="12">
        <f>D36/12/D5</f>
        <v>0.18</v>
      </c>
      <c r="J36" s="9"/>
      <c r="N36" s="9">
        <f t="shared" si="0"/>
        <v>-565.1</v>
      </c>
    </row>
    <row r="37" spans="1:16" ht="14.25" customHeight="1" x14ac:dyDescent="0.25">
      <c r="A37" s="17">
        <v>8</v>
      </c>
      <c r="B37" s="38" t="s">
        <v>93</v>
      </c>
      <c r="C37" s="43"/>
      <c r="D37" s="12">
        <v>52920</v>
      </c>
      <c r="E37" s="12">
        <f>D37/12/$D$5</f>
        <v>0.37</v>
      </c>
      <c r="J37" s="9"/>
      <c r="N37" s="9">
        <f t="shared" si="0"/>
        <v>185.06</v>
      </c>
    </row>
    <row r="38" spans="1:16" ht="14.25" customHeight="1" x14ac:dyDescent="0.25">
      <c r="A38" s="17">
        <v>9</v>
      </c>
      <c r="B38" s="38" t="s">
        <v>94</v>
      </c>
      <c r="C38" s="43"/>
      <c r="D38" s="12">
        <v>15000</v>
      </c>
      <c r="E38" s="12">
        <f>D38/12/$D$5</f>
        <v>0.1</v>
      </c>
      <c r="J38" s="9"/>
      <c r="N38" s="9"/>
    </row>
    <row r="39" spans="1:16" x14ac:dyDescent="0.25">
      <c r="A39" s="17">
        <v>10</v>
      </c>
      <c r="B39" s="44" t="s">
        <v>75</v>
      </c>
      <c r="C39" s="43"/>
      <c r="D39" s="15">
        <f>SUM(D34:D38,D19,D10:D12)</f>
        <v>2082171.85</v>
      </c>
      <c r="E39" s="15">
        <f>SUM(E34:E38,E19,E10:E12)</f>
        <v>14.5</v>
      </c>
      <c r="G39" s="9" t="e">
        <f>E10+#REF!+E11+E19+E33+#REF!</f>
        <v>#REF!</v>
      </c>
      <c r="I39" s="13">
        <f>D39/12/D5</f>
        <v>14.507</v>
      </c>
      <c r="J39" s="9"/>
      <c r="N39" s="9">
        <f t="shared" si="0"/>
        <v>-1027.45</v>
      </c>
    </row>
    <row r="40" spans="1:16" ht="130.5" customHeight="1" x14ac:dyDescent="0.25">
      <c r="A40" s="17">
        <v>11</v>
      </c>
      <c r="B40" s="45" t="s">
        <v>76</v>
      </c>
      <c r="C40" s="46" t="s">
        <v>77</v>
      </c>
      <c r="D40" s="15">
        <f>D39*0.13</f>
        <v>270682.34000000003</v>
      </c>
      <c r="E40" s="15">
        <f>E39*0.13</f>
        <v>1.89</v>
      </c>
      <c r="F40" s="9">
        <f>E40*12*2602.7</f>
        <v>59029.24</v>
      </c>
      <c r="G40" s="9">
        <f>D40-F40</f>
        <v>211653.1</v>
      </c>
      <c r="H40" s="2">
        <f>E40*12*2602.7</f>
        <v>59029.235999999997</v>
      </c>
      <c r="J40" s="9"/>
      <c r="N40" s="9">
        <f t="shared" si="0"/>
        <v>584.07000000000005</v>
      </c>
    </row>
    <row r="41" spans="1:16" x14ac:dyDescent="0.25">
      <c r="A41" s="17">
        <v>12</v>
      </c>
      <c r="B41" s="47" t="s">
        <v>78</v>
      </c>
      <c r="C41" s="48"/>
      <c r="D41" s="49">
        <f>D39+D40</f>
        <v>2352854.19</v>
      </c>
      <c r="E41" s="49">
        <f>E39+E40</f>
        <v>16.39</v>
      </c>
      <c r="G41" s="9"/>
      <c r="I41" s="13">
        <f>D41/12/D5</f>
        <v>16.393000000000001</v>
      </c>
      <c r="J41" s="9"/>
      <c r="N41" s="9">
        <f t="shared" si="0"/>
        <v>-443.38</v>
      </c>
    </row>
    <row r="42" spans="1:16" ht="23.25" customHeight="1" x14ac:dyDescent="0.25">
      <c r="A42" s="17">
        <v>13</v>
      </c>
      <c r="B42" s="44" t="s">
        <v>79</v>
      </c>
      <c r="C42" s="43"/>
      <c r="D42" s="15">
        <f>SUM(D43:D50)</f>
        <v>337071.46</v>
      </c>
      <c r="E42" s="15">
        <f>D42/10/D5</f>
        <v>2.82</v>
      </c>
      <c r="I42" s="2">
        <v>19.37</v>
      </c>
      <c r="N42" s="9">
        <f t="shared" si="0"/>
        <v>67675.240000000005</v>
      </c>
    </row>
    <row r="43" spans="1:16" ht="23.25" customHeight="1" x14ac:dyDescent="0.25">
      <c r="A43" s="17"/>
      <c r="B43" s="59"/>
      <c r="C43" s="60" t="s">
        <v>96</v>
      </c>
      <c r="D43" s="61">
        <f>25117.26/1.1</f>
        <v>22833.87</v>
      </c>
      <c r="E43" s="61">
        <f>D43/10/$D$5</f>
        <v>0.19</v>
      </c>
      <c r="N43" s="9"/>
    </row>
    <row r="44" spans="1:16" ht="31.5" customHeight="1" x14ac:dyDescent="0.25">
      <c r="A44" s="17"/>
      <c r="B44" s="59"/>
      <c r="C44" s="62" t="s">
        <v>97</v>
      </c>
      <c r="D44" s="61">
        <f>49038.46/1.1</f>
        <v>44580.42</v>
      </c>
      <c r="E44" s="61">
        <f t="shared" ref="E44:E50" si="5">D44/10/$D$5</f>
        <v>0.37</v>
      </c>
      <c r="N44" s="9"/>
    </row>
    <row r="45" spans="1:16" ht="23.25" customHeight="1" x14ac:dyDescent="0.25">
      <c r="A45" s="17"/>
      <c r="B45" s="59"/>
      <c r="C45" s="60" t="s">
        <v>98</v>
      </c>
      <c r="D45" s="61">
        <f>27509.38/1.1</f>
        <v>25008.53</v>
      </c>
      <c r="E45" s="61">
        <f t="shared" si="5"/>
        <v>0.21</v>
      </c>
      <c r="N45" s="9"/>
    </row>
    <row r="46" spans="1:16" ht="36.75" customHeight="1" x14ac:dyDescent="0.25">
      <c r="A46" s="17"/>
      <c r="B46" s="59"/>
      <c r="C46" s="62" t="s">
        <v>99</v>
      </c>
      <c r="D46" s="61">
        <f>21529.08/1.1</f>
        <v>19571.89</v>
      </c>
      <c r="E46" s="61">
        <f t="shared" si="5"/>
        <v>0.16</v>
      </c>
      <c r="N46" s="9"/>
    </row>
    <row r="47" spans="1:16" ht="32.25" customHeight="1" x14ac:dyDescent="0.25">
      <c r="A47" s="17"/>
      <c r="B47" s="59"/>
      <c r="C47" s="62" t="s">
        <v>103</v>
      </c>
      <c r="D47" s="61">
        <f>27509.38/1.1</f>
        <v>25008.53</v>
      </c>
      <c r="E47" s="61">
        <f t="shared" si="5"/>
        <v>0.21</v>
      </c>
      <c r="N47" s="9"/>
    </row>
    <row r="48" spans="1:16" ht="36.75" customHeight="1" x14ac:dyDescent="0.25">
      <c r="A48" s="17"/>
      <c r="B48" s="59"/>
      <c r="C48" s="62" t="s">
        <v>100</v>
      </c>
      <c r="D48" s="61">
        <f>13156.66/1.1</f>
        <v>11960.6</v>
      </c>
      <c r="E48" s="61">
        <f t="shared" si="5"/>
        <v>0.1</v>
      </c>
      <c r="N48" s="9"/>
    </row>
    <row r="49" spans="1:14" ht="39.75" customHeight="1" x14ac:dyDescent="0.25">
      <c r="A49" s="17"/>
      <c r="B49" s="59"/>
      <c r="C49" s="62" t="s">
        <v>101</v>
      </c>
      <c r="D49" s="61">
        <f>137546.9/1.1</f>
        <v>125042.64</v>
      </c>
      <c r="E49" s="61">
        <f t="shared" si="5"/>
        <v>1.05</v>
      </c>
      <c r="N49" s="9"/>
    </row>
    <row r="50" spans="1:14" ht="48.75" customHeight="1" x14ac:dyDescent="0.25">
      <c r="A50" s="17"/>
      <c r="B50" s="59"/>
      <c r="C50" s="62" t="s">
        <v>102</v>
      </c>
      <c r="D50" s="61">
        <f>69371.48/1.1</f>
        <v>63064.98</v>
      </c>
      <c r="E50" s="61">
        <f t="shared" si="5"/>
        <v>0.53</v>
      </c>
      <c r="N50" s="9"/>
    </row>
    <row r="51" spans="1:14" ht="93" customHeight="1" x14ac:dyDescent="0.25">
      <c r="A51" s="17">
        <v>14</v>
      </c>
      <c r="B51" s="50" t="s">
        <v>80</v>
      </c>
      <c r="C51" s="57" t="s">
        <v>81</v>
      </c>
      <c r="D51" s="51">
        <f>D42*0.1</f>
        <v>33707.15</v>
      </c>
      <c r="E51" s="52">
        <f>D51/10/$D$5</f>
        <v>0.28000000000000003</v>
      </c>
      <c r="N51" s="9">
        <f t="shared" si="0"/>
        <v>6480.47</v>
      </c>
    </row>
    <row r="52" spans="1:14" ht="19.5" customHeight="1" x14ac:dyDescent="0.25">
      <c r="A52" s="17">
        <v>15</v>
      </c>
      <c r="B52" s="47" t="s">
        <v>82</v>
      </c>
      <c r="C52" s="48"/>
      <c r="D52" s="49">
        <f>D42+D51</f>
        <v>370778.61</v>
      </c>
      <c r="E52" s="49">
        <f>E42+E51</f>
        <v>3.1</v>
      </c>
      <c r="N52" s="9">
        <f t="shared" si="0"/>
        <v>74155.710000000006</v>
      </c>
    </row>
    <row r="53" spans="1:14" x14ac:dyDescent="0.25">
      <c r="A53" s="17">
        <v>16</v>
      </c>
      <c r="B53" s="47" t="s">
        <v>83</v>
      </c>
      <c r="C53" s="48"/>
      <c r="D53" s="49">
        <f>SUM(D41+D52)</f>
        <v>2723632.8</v>
      </c>
      <c r="E53" s="49">
        <f>E41+E52</f>
        <v>19.489999999999998</v>
      </c>
      <c r="G53" s="9"/>
      <c r="I53" s="13"/>
      <c r="J53" s="9"/>
      <c r="N53" s="9">
        <f t="shared" si="0"/>
        <v>73712.33</v>
      </c>
    </row>
    <row r="54" spans="1:14" s="16" customFormat="1" x14ac:dyDescent="0.25">
      <c r="A54" s="17">
        <v>17</v>
      </c>
      <c r="B54" s="38" t="s">
        <v>84</v>
      </c>
      <c r="C54" s="14" t="s">
        <v>59</v>
      </c>
      <c r="D54" s="15">
        <f>E54*12*D5</f>
        <v>175103.18</v>
      </c>
      <c r="E54" s="39">
        <v>1.22</v>
      </c>
      <c r="F54" s="36"/>
      <c r="G54" s="37"/>
      <c r="I54" s="21">
        <v>0.48399999999999999</v>
      </c>
      <c r="J54" s="16">
        <f>I54*12*D23</f>
        <v>154217.09424000001</v>
      </c>
      <c r="K54" s="22"/>
      <c r="N54" s="9">
        <f t="shared" si="0"/>
        <v>0</v>
      </c>
    </row>
    <row r="55" spans="1:14" ht="21" customHeight="1" x14ac:dyDescent="0.25">
      <c r="A55" s="17">
        <v>18</v>
      </c>
      <c r="B55" s="44" t="s">
        <v>85</v>
      </c>
      <c r="C55" s="53" t="s">
        <v>86</v>
      </c>
      <c r="D55" s="15">
        <f>E55*12*D5</f>
        <v>344465.28</v>
      </c>
      <c r="E55" s="15">
        <v>2.4</v>
      </c>
      <c r="J55" s="9"/>
      <c r="N55" s="9">
        <f t="shared" si="0"/>
        <v>0</v>
      </c>
    </row>
    <row r="56" spans="1:14" x14ac:dyDescent="0.25">
      <c r="N56" s="9">
        <f t="shared" si="0"/>
        <v>0</v>
      </c>
    </row>
    <row r="60" spans="1:14" x14ac:dyDescent="0.25">
      <c r="B60" s="54" t="s">
        <v>87</v>
      </c>
      <c r="C60" s="55" t="s">
        <v>88</v>
      </c>
    </row>
    <row r="61" spans="1:14" x14ac:dyDescent="0.25">
      <c r="B61" s="54"/>
      <c r="C61" s="54"/>
    </row>
    <row r="62" spans="1:14" x14ac:dyDescent="0.25">
      <c r="C62" s="56"/>
    </row>
    <row r="63" spans="1:14" x14ac:dyDescent="0.25">
      <c r="B63" s="54" t="s">
        <v>89</v>
      </c>
      <c r="C63" s="55" t="s">
        <v>90</v>
      </c>
    </row>
  </sheetData>
  <mergeCells count="9">
    <mergeCell ref="D1:E1"/>
    <mergeCell ref="B2:E2"/>
    <mergeCell ref="C3:E3"/>
    <mergeCell ref="C4:E4"/>
    <mergeCell ref="C5:C9"/>
    <mergeCell ref="D5:E5"/>
    <mergeCell ref="D6:E6"/>
    <mergeCell ref="D7:E7"/>
    <mergeCell ref="D8:E8"/>
  </mergeCells>
  <pageMargins left="0.70866141732283472" right="0.70866141732283472" top="0.74803149606299213" bottom="0.74803149606299213" header="0.31496062992125984" footer="0.31496062992125984"/>
  <pageSetup paperSize="9" scale="65" fitToWidth="2" fitToHeight="2" orientation="landscape" r:id="rId1"/>
  <rowBreaks count="1" manualBreakCount="1">
    <brk id="20" max="4" man="1"/>
  </rowBreaks>
  <colBreaks count="1" manualBreakCount="1">
    <brk id="2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2016-12-13T08:07:47Z</dcterms:modified>
</cp:coreProperties>
</file>